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C5059BB-4361-48A3-A951-B65319D18650}" xr6:coauthVersionLast="45" xr6:coauthVersionMax="45" xr10:uidLastSave="{00000000-0000-0000-0000-000000000000}"/>
  <bookViews>
    <workbookView xWindow="3312" yWindow="3312" windowWidth="17232" windowHeight="8652" tabRatio="500"/>
  </bookViews>
  <sheets>
    <sheet name="2023-2025 изменение 13.11." sheetId="9" r:id="rId1"/>
    <sheet name="Лист2" sheetId="3" r:id="rId2"/>
    <sheet name="Лист3" sheetId="4" r:id="rId3"/>
  </sheets>
  <definedNames>
    <definedName name="Excel_BuiltIn_Print_Area" localSheetId="0">'2023-2025 изменение 13.11.'!$I$1:$R$219</definedName>
    <definedName name="_xlnm.Print_Area" localSheetId="0">'2023-2025 изменение 13.11.'!$I$1:$T$221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7" i="9" l="1"/>
  <c r="U219" i="9"/>
  <c r="R160" i="9"/>
  <c r="R159" i="9"/>
  <c r="R158" i="9"/>
  <c r="R42" i="9"/>
  <c r="R41" i="9"/>
  <c r="R45" i="9"/>
  <c r="R43" i="9"/>
  <c r="R174" i="9"/>
  <c r="R168" i="9"/>
  <c r="R167" i="9"/>
  <c r="R165" i="9"/>
  <c r="R145" i="9"/>
  <c r="R142" i="9"/>
  <c r="R141" i="9"/>
  <c r="R140" i="9"/>
  <c r="R139" i="9"/>
  <c r="R22" i="9"/>
  <c r="R21" i="9"/>
  <c r="R25" i="9"/>
  <c r="R24" i="9"/>
  <c r="R23" i="9"/>
  <c r="R113" i="9"/>
  <c r="R112" i="9"/>
  <c r="R111" i="9"/>
  <c r="R107" i="9"/>
  <c r="R106" i="9"/>
  <c r="R105" i="9"/>
  <c r="R104" i="9"/>
  <c r="R103" i="9"/>
  <c r="R116" i="9"/>
  <c r="R155" i="9"/>
  <c r="U239" i="9"/>
  <c r="U232" i="9"/>
  <c r="P232" i="9"/>
  <c r="P233" i="9"/>
  <c r="U222" i="9"/>
  <c r="V222" i="9"/>
  <c r="T222" i="9"/>
  <c r="W219" i="9"/>
  <c r="V219" i="9"/>
  <c r="T218" i="9"/>
  <c r="S218" i="9"/>
  <c r="S217" i="9"/>
  <c r="S216" i="9"/>
  <c r="S215" i="9"/>
  <c r="S214" i="9"/>
  <c r="R218" i="9"/>
  <c r="R217" i="9"/>
  <c r="R216" i="9"/>
  <c r="R215" i="9"/>
  <c r="R214" i="9"/>
  <c r="T217" i="9"/>
  <c r="T216" i="9"/>
  <c r="T215" i="9"/>
  <c r="T214" i="9"/>
  <c r="R212" i="9"/>
  <c r="R211" i="9"/>
  <c r="T209" i="9"/>
  <c r="T208" i="9"/>
  <c r="T207" i="9"/>
  <c r="S209" i="9"/>
  <c r="S208" i="9"/>
  <c r="S207" i="9"/>
  <c r="R209" i="9"/>
  <c r="R208" i="9"/>
  <c r="R206" i="9"/>
  <c r="R205" i="9"/>
  <c r="R204" i="9"/>
  <c r="T205" i="9"/>
  <c r="T204" i="9"/>
  <c r="S205" i="9"/>
  <c r="S204" i="9"/>
  <c r="R202" i="9"/>
  <c r="R201" i="9"/>
  <c r="R200" i="9"/>
  <c r="R199" i="9"/>
  <c r="T201" i="9"/>
  <c r="T200" i="9"/>
  <c r="T199" i="9"/>
  <c r="S201" i="9"/>
  <c r="S200" i="9"/>
  <c r="S199" i="9"/>
  <c r="T197" i="9"/>
  <c r="T196" i="9"/>
  <c r="T195" i="9"/>
  <c r="T194" i="9"/>
  <c r="T193" i="9"/>
  <c r="S197" i="9"/>
  <c r="S196" i="9"/>
  <c r="S195" i="9"/>
  <c r="S194" i="9"/>
  <c r="S193" i="9"/>
  <c r="R196" i="9"/>
  <c r="R195" i="9"/>
  <c r="R194" i="9"/>
  <c r="R193" i="9"/>
  <c r="R183" i="9"/>
  <c r="R182" i="9"/>
  <c r="R181" i="9"/>
  <c r="T182" i="9"/>
  <c r="T181" i="9"/>
  <c r="S182" i="9"/>
  <c r="S181" i="9"/>
  <c r="T180" i="9"/>
  <c r="S180" i="9"/>
  <c r="S179" i="9"/>
  <c r="S178" i="9"/>
  <c r="S177" i="9"/>
  <c r="R180" i="9"/>
  <c r="R179" i="9"/>
  <c r="R178" i="9"/>
  <c r="R177" i="9"/>
  <c r="T179" i="9"/>
  <c r="T178" i="9"/>
  <c r="T177" i="9"/>
  <c r="T175" i="9"/>
  <c r="S175" i="9"/>
  <c r="R175" i="9"/>
  <c r="R173" i="9"/>
  <c r="T173" i="9"/>
  <c r="S173" i="9"/>
  <c r="R172" i="9"/>
  <c r="R171" i="9"/>
  <c r="R170" i="9"/>
  <c r="R169" i="9"/>
  <c r="T171" i="9"/>
  <c r="T170" i="9"/>
  <c r="T169" i="9"/>
  <c r="T164" i="9"/>
  <c r="S171" i="9"/>
  <c r="S170" i="9"/>
  <c r="S169" i="9"/>
  <c r="S164" i="9"/>
  <c r="T167" i="9"/>
  <c r="T165" i="9"/>
  <c r="T166" i="9"/>
  <c r="S167" i="9"/>
  <c r="S165" i="9"/>
  <c r="S163" i="9"/>
  <c r="S162" i="9"/>
  <c r="S161" i="9"/>
  <c r="R163" i="9"/>
  <c r="R162" i="9"/>
  <c r="R161" i="9"/>
  <c r="T162" i="9"/>
  <c r="T161" i="9"/>
  <c r="T159" i="9"/>
  <c r="T158" i="9"/>
  <c r="S159" i="9"/>
  <c r="S158" i="9"/>
  <c r="R156" i="9"/>
  <c r="R153" i="9"/>
  <c r="S155" i="9"/>
  <c r="S154" i="9"/>
  <c r="S153" i="9"/>
  <c r="R154" i="9"/>
  <c r="T154" i="9"/>
  <c r="T153" i="9"/>
  <c r="T152" i="9"/>
  <c r="T151" i="9"/>
  <c r="T150" i="9"/>
  <c r="T149" i="9"/>
  <c r="S152" i="9"/>
  <c r="S151" i="9"/>
  <c r="S150" i="9"/>
  <c r="S149" i="9"/>
  <c r="R152" i="9"/>
  <c r="R151" i="9"/>
  <c r="R150" i="9"/>
  <c r="R149" i="9"/>
  <c r="T147" i="9"/>
  <c r="T146" i="9"/>
  <c r="S147" i="9"/>
  <c r="S146" i="9"/>
  <c r="R147" i="9"/>
  <c r="R146" i="9"/>
  <c r="T144" i="9"/>
  <c r="T143" i="9"/>
  <c r="S144" i="9"/>
  <c r="S143" i="9"/>
  <c r="R144" i="9"/>
  <c r="R143" i="9"/>
  <c r="T141" i="9"/>
  <c r="T140" i="9"/>
  <c r="S141" i="9"/>
  <c r="S140" i="9"/>
  <c r="R137" i="9"/>
  <c r="R136" i="9"/>
  <c r="T135" i="9"/>
  <c r="T134" i="9"/>
  <c r="T133" i="9"/>
  <c r="S135" i="9"/>
  <c r="S134" i="9"/>
  <c r="S133" i="9"/>
  <c r="R135" i="9"/>
  <c r="R134" i="9"/>
  <c r="R133" i="9"/>
  <c r="T131" i="9"/>
  <c r="T130" i="9"/>
  <c r="S131" i="9"/>
  <c r="S130" i="9"/>
  <c r="R131" i="9"/>
  <c r="R130" i="9"/>
  <c r="R126" i="9"/>
  <c r="T128" i="9"/>
  <c r="T127" i="9"/>
  <c r="T126" i="9"/>
  <c r="S128" i="9"/>
  <c r="S127" i="9"/>
  <c r="S126" i="9"/>
  <c r="R128" i="9"/>
  <c r="R127" i="9"/>
  <c r="R124" i="9"/>
  <c r="R123" i="9"/>
  <c r="R121" i="9"/>
  <c r="R120" i="9"/>
  <c r="R118" i="9"/>
  <c r="R117" i="9"/>
  <c r="T116" i="9"/>
  <c r="S116" i="9"/>
  <c r="R115" i="9"/>
  <c r="R114" i="9"/>
  <c r="T115" i="9"/>
  <c r="T114" i="9"/>
  <c r="T110" i="9"/>
  <c r="S115" i="9"/>
  <c r="S114" i="9"/>
  <c r="T112" i="9"/>
  <c r="T111" i="9"/>
  <c r="S112" i="9"/>
  <c r="S111" i="9"/>
  <c r="T106" i="9"/>
  <c r="S106" i="9"/>
  <c r="S105" i="9"/>
  <c r="S104" i="9"/>
  <c r="S103" i="9"/>
  <c r="T105" i="9"/>
  <c r="T104" i="9"/>
  <c r="T103" i="9"/>
  <c r="T101" i="9"/>
  <c r="S101" i="9"/>
  <c r="S100" i="9"/>
  <c r="S99" i="9"/>
  <c r="S98" i="9"/>
  <c r="R101" i="9"/>
  <c r="R100" i="9"/>
  <c r="R99" i="9"/>
  <c r="R98" i="9"/>
  <c r="T100" i="9"/>
  <c r="T99" i="9"/>
  <c r="T98" i="9"/>
  <c r="R96" i="9"/>
  <c r="R95" i="9"/>
  <c r="T94" i="9"/>
  <c r="T93" i="9"/>
  <c r="T92" i="9"/>
  <c r="S94" i="9"/>
  <c r="S93" i="9"/>
  <c r="S92" i="9"/>
  <c r="R94" i="9"/>
  <c r="R93" i="9"/>
  <c r="R92" i="9"/>
  <c r="T90" i="9"/>
  <c r="T89" i="9"/>
  <c r="S90" i="9"/>
  <c r="S89" i="9"/>
  <c r="R90" i="9"/>
  <c r="R89" i="9"/>
  <c r="T88" i="9"/>
  <c r="T87" i="9"/>
  <c r="T86" i="9"/>
  <c r="S88" i="9"/>
  <c r="S87" i="9"/>
  <c r="S86" i="9"/>
  <c r="R88" i="9"/>
  <c r="R87" i="9"/>
  <c r="R86" i="9"/>
  <c r="R84" i="9"/>
  <c r="R83" i="9"/>
  <c r="T82" i="9"/>
  <c r="T81" i="9"/>
  <c r="T80" i="9"/>
  <c r="S82" i="9"/>
  <c r="S81" i="9"/>
  <c r="S80" i="9"/>
  <c r="R82" i="9"/>
  <c r="R81" i="9"/>
  <c r="R80" i="9"/>
  <c r="T79" i="9"/>
  <c r="T78" i="9"/>
  <c r="T77" i="9"/>
  <c r="S79" i="9"/>
  <c r="S78" i="9"/>
  <c r="S77" i="9"/>
  <c r="R79" i="9"/>
  <c r="R78" i="9"/>
  <c r="R77" i="9"/>
  <c r="T76" i="9"/>
  <c r="S76" i="9"/>
  <c r="R76" i="9"/>
  <c r="T75" i="9"/>
  <c r="T74" i="9"/>
  <c r="S75" i="9"/>
  <c r="S74" i="9"/>
  <c r="S73" i="9"/>
  <c r="S65" i="9"/>
  <c r="R75" i="9"/>
  <c r="R74" i="9"/>
  <c r="T72" i="9"/>
  <c r="T71" i="9"/>
  <c r="T70" i="9"/>
  <c r="S72" i="9"/>
  <c r="R72" i="9"/>
  <c r="R71" i="9"/>
  <c r="R70" i="9"/>
  <c r="S71" i="9"/>
  <c r="S70" i="9"/>
  <c r="T68" i="9"/>
  <c r="T67" i="9"/>
  <c r="S68" i="9"/>
  <c r="S67" i="9"/>
  <c r="S66" i="9"/>
  <c r="R68" i="9"/>
  <c r="R67" i="9"/>
  <c r="R66" i="9"/>
  <c r="T63" i="9"/>
  <c r="T62" i="9"/>
  <c r="S63" i="9"/>
  <c r="S62" i="9"/>
  <c r="R63" i="9"/>
  <c r="R62" i="9"/>
  <c r="T60" i="9"/>
  <c r="T59" i="9"/>
  <c r="T55" i="9"/>
  <c r="S60" i="9"/>
  <c r="S59" i="9"/>
  <c r="R60" i="9"/>
  <c r="R59" i="9"/>
  <c r="R55" i="9"/>
  <c r="T57" i="9"/>
  <c r="T56" i="9"/>
  <c r="S57" i="9"/>
  <c r="S56" i="9"/>
  <c r="S55" i="9"/>
  <c r="R57" i="9"/>
  <c r="R56" i="9"/>
  <c r="T53" i="9"/>
  <c r="T52" i="9"/>
  <c r="T51" i="9"/>
  <c r="S53" i="9"/>
  <c r="S52" i="9"/>
  <c r="S51" i="9"/>
  <c r="R53" i="9"/>
  <c r="R52" i="9"/>
  <c r="R51" i="9"/>
  <c r="T49" i="9"/>
  <c r="S49" i="9"/>
  <c r="R49" i="9"/>
  <c r="T47" i="9"/>
  <c r="T46" i="9"/>
  <c r="T226" i="9"/>
  <c r="S47" i="9"/>
  <c r="S46" i="9"/>
  <c r="S226" i="9"/>
  <c r="S227" i="9"/>
  <c r="S229" i="9"/>
  <c r="R47" i="9"/>
  <c r="R46" i="9"/>
  <c r="R44" i="9"/>
  <c r="T43" i="9"/>
  <c r="S43" i="9"/>
  <c r="T41" i="9"/>
  <c r="S41" i="9"/>
  <c r="R40" i="9"/>
  <c r="R39" i="9"/>
  <c r="T39" i="9"/>
  <c r="T38" i="9"/>
  <c r="S39" i="9"/>
  <c r="S38" i="9"/>
  <c r="S31" i="9"/>
  <c r="T36" i="9"/>
  <c r="T35" i="9"/>
  <c r="T31" i="9"/>
  <c r="T30" i="9"/>
  <c r="S36" i="9"/>
  <c r="S35" i="9"/>
  <c r="R36" i="9"/>
  <c r="R35" i="9"/>
  <c r="T33" i="9"/>
  <c r="T32" i="9"/>
  <c r="S33" i="9"/>
  <c r="S32" i="9"/>
  <c r="R33" i="9"/>
  <c r="R32" i="9"/>
  <c r="T27" i="9"/>
  <c r="S27" i="9"/>
  <c r="R27" i="9"/>
  <c r="R26" i="9"/>
  <c r="T26" i="9"/>
  <c r="S26" i="9"/>
  <c r="T24" i="9"/>
  <c r="T23" i="9"/>
  <c r="S24" i="9"/>
  <c r="S23" i="9"/>
  <c r="T20" i="9"/>
  <c r="S20" i="9"/>
  <c r="R20" i="9"/>
  <c r="R17" i="9"/>
  <c r="R16" i="9"/>
  <c r="T18" i="9"/>
  <c r="T17" i="9"/>
  <c r="T16" i="9"/>
  <c r="S18" i="9"/>
  <c r="S17" i="9"/>
  <c r="R18" i="9"/>
  <c r="R14" i="9"/>
  <c r="R11" i="9"/>
  <c r="R10" i="9"/>
  <c r="T12" i="9"/>
  <c r="T11" i="9"/>
  <c r="T10" i="9"/>
  <c r="T9" i="9"/>
  <c r="T8" i="9"/>
  <c r="S12" i="9"/>
  <c r="S11" i="9"/>
  <c r="S10" i="9"/>
  <c r="R12" i="9"/>
  <c r="S166" i="9"/>
  <c r="S110" i="9"/>
  <c r="T73" i="9"/>
  <c r="T139" i="9"/>
  <c r="T109" i="9"/>
  <c r="T108" i="9"/>
  <c r="T29" i="9"/>
  <c r="T219" i="9"/>
  <c r="T221" i="9"/>
  <c r="R164" i="9"/>
  <c r="R166" i="9"/>
  <c r="R73" i="9"/>
  <c r="R65" i="9"/>
  <c r="R110" i="9"/>
  <c r="R109" i="9"/>
  <c r="R108" i="9"/>
  <c r="S203" i="9"/>
  <c r="S198" i="9"/>
  <c r="R31" i="9"/>
  <c r="R30" i="9"/>
  <c r="S30" i="9"/>
  <c r="S139" i="9"/>
  <c r="S109" i="9"/>
  <c r="S108" i="9"/>
  <c r="T203" i="9"/>
  <c r="T198" i="9"/>
  <c r="R38" i="9"/>
  <c r="R9" i="9"/>
  <c r="R8" i="9"/>
  <c r="R198" i="9"/>
  <c r="R203" i="9"/>
  <c r="S16" i="9"/>
  <c r="S9" i="9"/>
  <c r="S8" i="9"/>
  <c r="T65" i="9"/>
  <c r="T66" i="9"/>
  <c r="R207" i="9"/>
  <c r="T234" i="9"/>
  <c r="T238" i="9"/>
  <c r="T225" i="9"/>
  <c r="T227" i="9"/>
  <c r="T229" i="9"/>
  <c r="T240" i="9"/>
  <c r="W220" i="9"/>
  <c r="R29" i="9"/>
  <c r="R219" i="9"/>
  <c r="R221" i="9"/>
  <c r="S29" i="9"/>
  <c r="S219" i="9"/>
  <c r="S221" i="9"/>
  <c r="U221" i="9"/>
  <c r="R234" i="9"/>
  <c r="R223" i="9"/>
  <c r="P234" i="9"/>
  <c r="P235" i="9"/>
  <c r="R240" i="9"/>
  <c r="S234" i="9"/>
  <c r="S238" i="9"/>
  <c r="S236" i="9"/>
  <c r="S240" i="9"/>
  <c r="V220" i="9"/>
  <c r="T236" i="9"/>
  <c r="U234" i="9"/>
  <c r="U238" i="9"/>
  <c r="R235" i="9"/>
  <c r="S235" i="9"/>
  <c r="T235" i="9"/>
  <c r="R238" i="9"/>
  <c r="U240" i="9"/>
  <c r="U220" i="9"/>
</calcChain>
</file>

<file path=xl/sharedStrings.xml><?xml version="1.0" encoding="utf-8"?>
<sst xmlns="http://schemas.openxmlformats.org/spreadsheetml/2006/main" count="722" uniqueCount="209">
  <si>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</si>
  <si>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</si>
  <si>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</si>
  <si>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</si>
  <si>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</si>
  <si>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</si>
  <si>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</si>
  <si>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</si>
  <si>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</si>
  <si>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</si>
  <si>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</si>
  <si>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</si>
  <si>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</si>
  <si>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</si>
  <si>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</si>
  <si>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</si>
  <si>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</si>
  <si>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</si>
  <si>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</si>
  <si>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</si>
  <si>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</si>
  <si>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</si>
  <si>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</si>
  <si>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</si>
  <si>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</si>
  <si>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</si>
  <si>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</si>
  <si>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</si>
  <si>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</si>
  <si>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</si>
  <si>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</si>
  <si>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</si>
  <si>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</si>
  <si>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</si>
  <si>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</si>
  <si>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</si>
  <si>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</si>
  <si>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</si>
  <si>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</si>
  <si>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</si>
  <si>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</si>
  <si>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</si>
  <si>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</si>
  <si>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</si>
  <si>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</si>
  <si>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</si>
  <si>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</si>
  <si>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</si>
  <si>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</si>
  <si>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</si>
  <si>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</si>
  <si>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</si>
  <si>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</si>
  <si>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</si>
  <si>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</si>
  <si>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</si>
  <si>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</si>
  <si>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</si>
  <si>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</si>
  <si>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</si>
  <si>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</si>
  <si>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</si>
  <si>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</si>
  <si>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</si>
  <si>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</si>
  <si>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</si>
  <si>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</si>
  <si>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</si>
  <si>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</si>
  <si>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</si>
  <si>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79500 00531</t>
  </si>
  <si>
    <t>79500 00551</t>
  </si>
  <si>
    <t>79500 00591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</si>
  <si>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</si>
  <si>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</si>
  <si>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</si>
  <si>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</si>
  <si>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</si>
  <si>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</si>
  <si>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</si>
  <si>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</si>
  <si>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</si>
  <si>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</si>
  <si>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</si>
  <si>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</si>
  <si>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</si>
  <si>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</si>
  <si>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</si>
  <si>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</si>
  <si>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</si>
  <si>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</si>
  <si>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</si>
  <si>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</si>
  <si>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</si>
  <si>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</si>
  <si>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</si>
  <si>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</si>
  <si>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</si>
  <si>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</si>
  <si>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</si>
  <si>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</si>
  <si>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</si>
  <si>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</si>
  <si>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</si>
  <si>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</si>
  <si>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</si>
  <si>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</si>
  <si>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</si>
  <si>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</si>
  <si>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</si>
  <si>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</si>
  <si>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</si>
  <si>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</si>
  <si>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</si>
  <si>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</si>
  <si>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</si>
  <si>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</si>
  <si>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</si>
  <si>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</si>
  <si>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</si>
  <si>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</si>
  <si>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</si>
  <si>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</si>
  <si>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</si>
  <si>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</si>
  <si>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</si>
  <si>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</si>
  <si>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</si>
  <si>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</si>
  <si>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</si>
  <si>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</si>
  <si>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</si>
  <si>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</si>
  <si>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</si>
  <si>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</si>
  <si>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</si>
  <si>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</si>
  <si>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</si>
  <si>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</si>
  <si>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</si>
  <si>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</si>
  <si>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</si>
  <si>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</si>
  <si>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</si>
  <si>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</si>
  <si>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</si>
  <si>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</si>
  <si>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</si>
  <si>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</si>
  <si>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</si>
  <si>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</si>
  <si>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</si>
  <si>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</si>
  <si>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</si>
  <si>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</si>
  <si>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</si>
  <si>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</si>
  <si>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</si>
  <si>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</si>
  <si>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</si>
  <si>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</si>
  <si>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</si>
  <si>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</si>
  <si>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</si>
  <si>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</si>
  <si>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</si>
  <si>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</si>
  <si>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</si>
  <si>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</si>
  <si>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</si>
  <si>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</si>
  <si>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</si>
  <si>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2023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</si>
  <si>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</si>
  <si>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</si>
  <si>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</si>
  <si>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</si>
  <si>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</si>
  <si>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</si>
  <si>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>внутригородского муниципального образования города федерального значения Санкт-Петербурга поселок Репино на 2023 год на плановый период 2024 и 2025 годов.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</si>
  <si>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</si>
  <si>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</si>
  <si>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УСЛОВНО УТВЕРЖДЕННЫЕ РАСХОДЫ</t>
  </si>
  <si>
    <t xml:space="preserve">ИТОГО </t>
  </si>
  <si>
    <t>Ведомственная структура расходов местного бюджета</t>
  </si>
  <si>
    <t>процент</t>
  </si>
  <si>
    <t>итого</t>
  </si>
  <si>
    <t>в т.ч субвенция</t>
  </si>
  <si>
    <t>итого-субвенция</t>
  </si>
  <si>
    <t>итого условно утвержденные расходы</t>
  </si>
  <si>
    <t>Резервные фонды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</si>
  <si>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</si>
  <si>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</si>
  <si>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</si>
  <si>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</si>
  <si>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</si>
  <si>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</si>
  <si>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Проведение публичных слушаний и собраний граждан</t>
  </si>
  <si>
    <t>0920000092</t>
  </si>
  <si>
    <t>остаток на 01.01.2023</t>
  </si>
  <si>
    <t xml:space="preserve">доходы </t>
  </si>
  <si>
    <t>разница</t>
  </si>
  <si>
    <t>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</si>
  <si>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</si>
  <si>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</si>
  <si>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</si>
  <si>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</si>
  <si>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субвенции из бюджета Санкт-Петербурга</t>
  </si>
  <si>
    <t>к решению МС ВМО поселок Репино № 3-11 от  13.11.2023г.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</si>
</sst>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/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/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9" fillId="2" borderId="3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49" fontId="16" fillId="3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172" fontId="9" fillId="2" borderId="8" xfId="0" applyNumberFormat="1" applyFont="1" applyFill="1" applyBorder="1" applyAlignment="1">
      <alignment horizontal="center" wrapText="1"/>
    </xf>
    <xf numFmtId="172" fontId="9" fillId="2" borderId="9" xfId="0" applyNumberFormat="1" applyFont="1" applyFill="1" applyBorder="1" applyAlignment="1">
      <alignment horizontal="center" wrapText="1"/>
    </xf>
    <xf numFmtId="172" fontId="9" fillId="2" borderId="8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2" borderId="4" xfId="0" applyNumberFormat="1" applyFont="1" applyFill="1" applyBorder="1" applyAlignment="1">
      <alignment horizontal="center" wrapText="1"/>
    </xf>
    <xf numFmtId="172" fontId="7" fillId="2" borderId="10" xfId="0" applyNumberFormat="1" applyFont="1" applyFill="1" applyBorder="1" applyAlignment="1">
      <alignment horizontal="center" wrapText="1"/>
    </xf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0" xfId="0" applyNumberFormat="1" applyFont="1" applyFill="1" applyBorder="1" applyAlignment="1">
      <alignment horizontal="center"/>
    </xf>
    <xf numFmtId="172" fontId="7" fillId="6" borderId="10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7" fillId="5" borderId="8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172" fontId="7" fillId="2" borderId="8" xfId="0" applyNumberFormat="1" applyFont="1" applyFill="1" applyBorder="1" applyAlignment="1">
      <alignment horizontal="center"/>
    </xf>
    <xf numFmtId="172" fontId="7" fillId="2" borderId="9" xfId="0" applyNumberFormat="1" applyFont="1" applyFill="1" applyBorder="1" applyAlignment="1">
      <alignment horizontal="center"/>
    </xf>
    <xf numFmtId="172" fontId="9" fillId="2" borderId="13" xfId="0" applyNumberFormat="1" applyFont="1" applyFill="1" applyBorder="1" applyAlignment="1">
      <alignment horizontal="center"/>
    </xf>
    <xf numFmtId="172" fontId="9" fillId="2" borderId="14" xfId="0" applyNumberFormat="1" applyFont="1" applyFill="1" applyBorder="1" applyAlignment="1">
      <alignment horizontal="center"/>
    </xf>
    <xf numFmtId="172" fontId="9" fillId="2" borderId="15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0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172" fontId="14" fillId="0" borderId="5" xfId="0" applyNumberFormat="1" applyFont="1" applyFill="1" applyBorder="1"/>
    <xf numFmtId="0" fontId="7" fillId="0" borderId="16" xfId="0" applyFont="1" applyFill="1" applyBorder="1" applyAlignment="1"/>
    <xf numFmtId="0" fontId="7" fillId="0" borderId="17" xfId="0" applyFont="1" applyFill="1" applyBorder="1" applyAlignment="1"/>
    <xf numFmtId="172" fontId="1" fillId="0" borderId="5" xfId="0" applyNumberFormat="1" applyFont="1" applyFill="1" applyBorder="1"/>
    <xf numFmtId="0" fontId="1" fillId="0" borderId="5" xfId="0" applyFont="1" applyFill="1" applyBorder="1"/>
    <xf numFmtId="172" fontId="1" fillId="0" borderId="5" xfId="0" applyNumberFormat="1" applyFont="1" applyFill="1" applyBorder="1" applyAlignment="1"/>
    <xf numFmtId="173" fontId="1" fillId="0" borderId="5" xfId="0" applyNumberFormat="1" applyFont="1" applyFill="1" applyBorder="1"/>
    <xf numFmtId="172" fontId="6" fillId="0" borderId="5" xfId="0" applyNumberFormat="1" applyFont="1" applyFill="1" applyBorder="1"/>
    <xf numFmtId="3" fontId="1" fillId="0" borderId="0" xfId="0" applyNumberFormat="1" applyFont="1" applyFill="1"/>
    <xf numFmtId="49" fontId="7" fillId="0" borderId="4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172" fontId="7" fillId="2" borderId="18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72" fontId="12" fillId="5" borderId="11" xfId="0" applyNumberFormat="1" applyFont="1" applyFill="1" applyBorder="1" applyAlignment="1">
      <alignment horizontal="center"/>
    </xf>
    <xf numFmtId="172" fontId="7" fillId="4" borderId="12" xfId="0" applyNumberFormat="1" applyFont="1" applyFill="1" applyBorder="1" applyAlignment="1">
      <alignment horizontal="center"/>
    </xf>
    <xf numFmtId="172" fontId="9" fillId="2" borderId="6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49" fontId="16" fillId="4" borderId="2" xfId="0" applyNumberFormat="1" applyFont="1" applyFill="1" applyBorder="1" applyAlignment="1">
      <alignment horizontal="center"/>
    </xf>
    <xf numFmtId="172" fontId="14" fillId="0" borderId="0" xfId="0" applyNumberFormat="1" applyFont="1" applyFill="1"/>
    <xf numFmtId="172" fontId="1" fillId="0" borderId="0" xfId="0" applyNumberFormat="1" applyFont="1" applyFill="1" applyAlignment="1">
      <alignment horizontal="left"/>
    </xf>
    <xf numFmtId="4" fontId="2" fillId="0" borderId="5" xfId="0" applyNumberFormat="1" applyFont="1" applyFill="1" applyBorder="1"/>
    <xf numFmtId="0" fontId="2" fillId="0" borderId="5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172" fontId="1" fillId="4" borderId="5" xfId="0" applyNumberFormat="1" applyFont="1" applyFill="1" applyBorder="1"/>
    <xf numFmtId="0" fontId="6" fillId="0" borderId="0" xfId="0" applyFont="1" applyFill="1" applyAlignment="1">
      <alignment horizontal="left"/>
    </xf>
    <xf numFmtId="173" fontId="6" fillId="0" borderId="5" xfId="0" applyNumberFormat="1" applyFont="1" applyFill="1" applyBorder="1"/>
    <xf numFmtId="4" fontId="1" fillId="0" borderId="5" xfId="0" applyNumberFormat="1" applyFont="1" applyFill="1" applyBorder="1"/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left"/>
    </xf>
    <xf numFmtId="173" fontId="21" fillId="0" borderId="5" xfId="0" applyNumberFormat="1" applyFont="1" applyFill="1" applyBorder="1"/>
    <xf numFmtId="172" fontId="22" fillId="0" borderId="0" xfId="0" applyNumberFormat="1" applyFont="1" applyFill="1"/>
    <xf numFmtId="172" fontId="2" fillId="0" borderId="0" xfId="0" applyNumberFormat="1" applyFont="1" applyFill="1"/>
    <xf numFmtId="2" fontId="21" fillId="0" borderId="5" xfId="0" applyNumberFormat="1" applyFont="1" applyFill="1" applyBorder="1"/>
    <xf numFmtId="2" fontId="7" fillId="0" borderId="0" xfId="0" applyNumberFormat="1" applyFont="1" applyFill="1"/>
    <xf numFmtId="2" fontId="9" fillId="0" borderId="0" xfId="0" applyNumberFormat="1" applyFont="1" applyFill="1"/>
    <xf numFmtId="2" fontId="19" fillId="0" borderId="0" xfId="0" applyNumberFormat="1" applyFont="1" applyFill="1"/>
    <xf numFmtId="0" fontId="6" fillId="0" borderId="0" xfId="0" applyFont="1" applyFill="1" applyAlignment="1">
      <alignment horizontal="right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7" xfId="0" applyFont="1" applyFill="1" applyBorder="1" applyAlignment="1">
      <alignment horizontal="right"/>
    </xf>
    <xf numFmtId="172" fontId="21" fillId="0" borderId="0" xfId="0" applyNumberFormat="1" applyFont="1" applyFill="1" applyAlignment="1">
      <alignment horizontal="right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4" borderId="16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/>
    <xf numFmtId="0" fontId="7" fillId="0" borderId="17" xfId="0" applyFont="1" applyFill="1" applyBorder="1" applyAlignment="1"/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0"/>
  <sheetViews>
    <sheetView tabSelected="1" view="pageBreakPreview" topLeftCell="I1" zoomScaleSheetLayoutView="100" workbookViewId="0">
      <selection activeCell="U7" sqref="U7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2.88671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8.44140625" style="1" customWidth="1"/>
    <col min="22" max="22" width="9.109375" style="1"/>
    <col min="23" max="23" width="7.88671875" style="1" customWidth="1"/>
    <col min="24" max="16384" width="9.109375" style="1"/>
  </cols>
  <sheetData>
    <row r="1" spans="1:20" ht="18.75" customHeight="1" x14ac:dyDescent="0.35">
      <c r="A1" s="224" t="s">
        <v>204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ht="21.75" customHeight="1" x14ac:dyDescent="0.25">
      <c r="A2" s="225" t="s">
        <v>208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226" t="s">
        <v>184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226" t="s">
        <v>179</v>
      </c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227"/>
      <c r="J5" s="227"/>
      <c r="K5" s="227"/>
      <c r="L5" s="227"/>
      <c r="M5" s="227"/>
      <c r="N5" s="227"/>
      <c r="O5" s="227"/>
      <c r="P5" s="227"/>
      <c r="Q5" s="227"/>
      <c r="R5" s="227"/>
    </row>
    <row r="6" spans="1:20" s="2" customFormat="1" ht="25.5" customHeight="1" x14ac:dyDescent="0.25">
      <c r="I6" s="228" t="s">
        <v>0</v>
      </c>
      <c r="J6" s="228"/>
      <c r="K6" s="228"/>
      <c r="L6" s="228"/>
      <c r="M6" s="228"/>
      <c r="N6" s="229" t="s">
        <v>1</v>
      </c>
      <c r="O6" s="229" t="s">
        <v>2</v>
      </c>
      <c r="P6" s="229" t="s">
        <v>3</v>
      </c>
      <c r="Q6" s="229" t="s">
        <v>4</v>
      </c>
      <c r="R6" s="221" t="s">
        <v>5</v>
      </c>
      <c r="S6" s="221"/>
      <c r="T6" s="221"/>
    </row>
    <row r="7" spans="1:20" s="2" customFormat="1" ht="48.75" customHeight="1" x14ac:dyDescent="0.25">
      <c r="I7" s="228"/>
      <c r="J7" s="228"/>
      <c r="K7" s="228"/>
      <c r="L7" s="228"/>
      <c r="M7" s="228"/>
      <c r="N7" s="229"/>
      <c r="O7" s="229"/>
      <c r="P7" s="229"/>
      <c r="Q7" s="229"/>
      <c r="R7" s="40" t="s">
        <v>172</v>
      </c>
      <c r="S7" s="41">
        <v>2024</v>
      </c>
      <c r="T7" s="41">
        <v>2025</v>
      </c>
    </row>
    <row r="8" spans="1:20" s="6" customFormat="1" ht="42" customHeight="1" x14ac:dyDescent="0.25">
      <c r="I8" s="222" t="s">
        <v>6</v>
      </c>
      <c r="J8" s="223"/>
      <c r="K8" s="223"/>
      <c r="L8" s="223"/>
      <c r="M8" s="223"/>
      <c r="N8" s="42">
        <v>931</v>
      </c>
      <c r="O8" s="43"/>
      <c r="P8" s="56"/>
      <c r="Q8" s="8"/>
      <c r="R8" s="70">
        <f>R9</f>
        <v>5108.1000000000004</v>
      </c>
      <c r="S8" s="70">
        <f>S9</f>
        <v>4593.7999999999993</v>
      </c>
      <c r="T8" s="71">
        <f>T9</f>
        <v>4803.7000000000007</v>
      </c>
    </row>
    <row r="9" spans="1:20" s="6" customFormat="1" ht="24.75" customHeight="1" x14ac:dyDescent="0.25">
      <c r="I9" s="173" t="s">
        <v>7</v>
      </c>
      <c r="J9" s="174"/>
      <c r="K9" s="174"/>
      <c r="L9" s="174"/>
      <c r="M9" s="174"/>
      <c r="N9" s="44">
        <v>931</v>
      </c>
      <c r="O9" s="43" t="s">
        <v>8</v>
      </c>
      <c r="P9" s="57"/>
      <c r="Q9" s="7"/>
      <c r="R9" s="72">
        <f>R10+R16</f>
        <v>5108.1000000000004</v>
      </c>
      <c r="S9" s="72">
        <f>S10+S16</f>
        <v>4593.7999999999993</v>
      </c>
      <c r="T9" s="73">
        <f>T10+T16</f>
        <v>4803.7000000000007</v>
      </c>
    </row>
    <row r="10" spans="1:20" s="6" customFormat="1" ht="39" customHeight="1" x14ac:dyDescent="0.25">
      <c r="I10" s="219" t="s">
        <v>9</v>
      </c>
      <c r="J10" s="220"/>
      <c r="K10" s="220"/>
      <c r="L10" s="220"/>
      <c r="M10" s="220"/>
      <c r="N10" s="44">
        <v>931</v>
      </c>
      <c r="O10" s="45" t="s">
        <v>10</v>
      </c>
      <c r="P10" s="57"/>
      <c r="Q10" s="7"/>
      <c r="R10" s="74">
        <f>R11</f>
        <v>1701.5</v>
      </c>
      <c r="S10" s="74">
        <f>S11</f>
        <v>1784</v>
      </c>
      <c r="T10" s="75">
        <f>T11</f>
        <v>1865.4</v>
      </c>
    </row>
    <row r="11" spans="1:20" s="6" customFormat="1" ht="96" customHeight="1" x14ac:dyDescent="0.25">
      <c r="I11" s="173" t="s">
        <v>11</v>
      </c>
      <c r="J11" s="174"/>
      <c r="K11" s="174"/>
      <c r="L11" s="174"/>
      <c r="M11" s="174"/>
      <c r="N11" s="44">
        <v>931</v>
      </c>
      <c r="O11" s="45" t="s">
        <v>10</v>
      </c>
      <c r="P11" s="57" t="s">
        <v>12</v>
      </c>
      <c r="Q11" s="9"/>
      <c r="R11" s="74">
        <f>R12+R14</f>
        <v>1701.5</v>
      </c>
      <c r="S11" s="74">
        <f>S12+S14</f>
        <v>1784</v>
      </c>
      <c r="T11" s="75">
        <f>T12+T14</f>
        <v>1865.4</v>
      </c>
    </row>
    <row r="12" spans="1:20" s="6" customFormat="1" ht="72.75" customHeight="1" x14ac:dyDescent="0.25">
      <c r="I12" s="164" t="s">
        <v>13</v>
      </c>
      <c r="J12" s="165"/>
      <c r="K12" s="165"/>
      <c r="L12" s="165"/>
      <c r="M12" s="165"/>
      <c r="N12" s="46">
        <v>931</v>
      </c>
      <c r="O12" s="47" t="s">
        <v>10</v>
      </c>
      <c r="P12" s="58" t="s">
        <v>12</v>
      </c>
      <c r="Q12" s="10" t="s">
        <v>14</v>
      </c>
      <c r="R12" s="76">
        <f>R13</f>
        <v>1701.5</v>
      </c>
      <c r="S12" s="76">
        <f>S13</f>
        <v>1784</v>
      </c>
      <c r="T12" s="77">
        <f>T13</f>
        <v>1865.4</v>
      </c>
    </row>
    <row r="13" spans="1:20" s="6" customFormat="1" ht="30" customHeight="1" x14ac:dyDescent="0.25">
      <c r="I13" s="217" t="s">
        <v>15</v>
      </c>
      <c r="J13" s="218"/>
      <c r="K13" s="218"/>
      <c r="L13" s="218"/>
      <c r="M13" s="36"/>
      <c r="N13" s="46">
        <v>931</v>
      </c>
      <c r="O13" s="47" t="s">
        <v>10</v>
      </c>
      <c r="P13" s="58" t="s">
        <v>12</v>
      </c>
      <c r="Q13" s="10" t="s">
        <v>16</v>
      </c>
      <c r="R13" s="76">
        <v>1701.5</v>
      </c>
      <c r="S13" s="88">
        <v>1784</v>
      </c>
      <c r="T13" s="88">
        <v>1865.4</v>
      </c>
    </row>
    <row r="14" spans="1:20" s="6" customFormat="1" ht="38.25" hidden="1" customHeight="1" x14ac:dyDescent="0.25">
      <c r="I14" s="217" t="s">
        <v>17</v>
      </c>
      <c r="J14" s="218"/>
      <c r="K14" s="218"/>
      <c r="L14" s="218"/>
      <c r="M14" s="218"/>
      <c r="N14" s="44">
        <v>931</v>
      </c>
      <c r="O14" s="47" t="s">
        <v>10</v>
      </c>
      <c r="P14" s="58" t="s">
        <v>18</v>
      </c>
      <c r="Q14" s="10" t="s">
        <v>19</v>
      </c>
      <c r="R14" s="76">
        <f>R15</f>
        <v>0</v>
      </c>
      <c r="S14" s="78"/>
      <c r="T14" s="79"/>
    </row>
    <row r="15" spans="1:20" s="6" customFormat="1" ht="12.75" hidden="1" customHeight="1" x14ac:dyDescent="0.25">
      <c r="I15" s="217" t="s">
        <v>20</v>
      </c>
      <c r="J15" s="218"/>
      <c r="K15" s="218"/>
      <c r="L15" s="218"/>
      <c r="M15" s="36"/>
      <c r="N15" s="44">
        <v>931</v>
      </c>
      <c r="O15" s="47" t="s">
        <v>10</v>
      </c>
      <c r="P15" s="58" t="s">
        <v>18</v>
      </c>
      <c r="Q15" s="12" t="s">
        <v>21</v>
      </c>
      <c r="R15" s="76"/>
      <c r="S15" s="78"/>
      <c r="T15" s="79"/>
    </row>
    <row r="16" spans="1:20" s="6" customFormat="1" ht="54" customHeight="1" x14ac:dyDescent="0.25">
      <c r="I16" s="191" t="s">
        <v>22</v>
      </c>
      <c r="J16" s="192"/>
      <c r="K16" s="192"/>
      <c r="L16" s="192"/>
      <c r="M16" s="37"/>
      <c r="N16" s="44">
        <v>931</v>
      </c>
      <c r="O16" s="45" t="s">
        <v>23</v>
      </c>
      <c r="P16" s="57"/>
      <c r="Q16" s="7"/>
      <c r="R16" s="74">
        <f>R17+R23+R26</f>
        <v>3406.6000000000004</v>
      </c>
      <c r="S16" s="74">
        <f>S17+S23+S26</f>
        <v>2809.7999999999997</v>
      </c>
      <c r="T16" s="75">
        <f>T17+T23+T26</f>
        <v>2938.3</v>
      </c>
    </row>
    <row r="17" spans="9:21" s="6" customFormat="1" ht="42.75" customHeight="1" x14ac:dyDescent="0.25">
      <c r="I17" s="191" t="s">
        <v>24</v>
      </c>
      <c r="J17" s="192"/>
      <c r="K17" s="192"/>
      <c r="L17" s="192"/>
      <c r="M17" s="192"/>
      <c r="N17" s="44">
        <v>931</v>
      </c>
      <c r="O17" s="45" t="s">
        <v>23</v>
      </c>
      <c r="P17" s="57" t="s">
        <v>25</v>
      </c>
      <c r="Q17" s="9"/>
      <c r="R17" s="74">
        <f>R18+R20+R22</f>
        <v>3144.3</v>
      </c>
      <c r="S17" s="74">
        <f>S18+S20+S22</f>
        <v>2522.2999999999997</v>
      </c>
      <c r="T17" s="75">
        <f>T18+T20+T22</f>
        <v>2637.6</v>
      </c>
    </row>
    <row r="18" spans="9:21" s="6" customFormat="1" ht="69.75" customHeight="1" x14ac:dyDescent="0.25">
      <c r="I18" s="217" t="s">
        <v>13</v>
      </c>
      <c r="J18" s="218"/>
      <c r="K18" s="218"/>
      <c r="L18" s="218"/>
      <c r="M18" s="218"/>
      <c r="N18" s="46">
        <v>931</v>
      </c>
      <c r="O18" s="47" t="s">
        <v>23</v>
      </c>
      <c r="P18" s="58" t="s">
        <v>25</v>
      </c>
      <c r="Q18" s="10" t="s">
        <v>14</v>
      </c>
      <c r="R18" s="76">
        <f>R19</f>
        <v>1611.2</v>
      </c>
      <c r="S18" s="76">
        <f>S19</f>
        <v>1189.3</v>
      </c>
      <c r="T18" s="77">
        <f>T19</f>
        <v>1243.5999999999999</v>
      </c>
    </row>
    <row r="19" spans="9:21" s="6" customFormat="1" ht="28.5" customHeight="1" x14ac:dyDescent="0.25">
      <c r="I19" s="217" t="s">
        <v>26</v>
      </c>
      <c r="J19" s="218"/>
      <c r="K19" s="218"/>
      <c r="L19" s="218"/>
      <c r="M19" s="36"/>
      <c r="N19" s="46">
        <v>931</v>
      </c>
      <c r="O19" s="47" t="s">
        <v>23</v>
      </c>
      <c r="P19" s="58" t="s">
        <v>25</v>
      </c>
      <c r="Q19" s="10" t="s">
        <v>16</v>
      </c>
      <c r="R19" s="76">
        <v>1611.2</v>
      </c>
      <c r="S19" s="88">
        <v>1189.3</v>
      </c>
      <c r="T19" s="88">
        <v>1243.5999999999999</v>
      </c>
    </row>
    <row r="20" spans="9:21" s="6" customFormat="1" ht="26.25" customHeight="1" x14ac:dyDescent="0.25">
      <c r="I20" s="164" t="s">
        <v>17</v>
      </c>
      <c r="J20" s="165"/>
      <c r="K20" s="165"/>
      <c r="L20" s="165"/>
      <c r="M20" s="165"/>
      <c r="N20" s="46">
        <v>931</v>
      </c>
      <c r="O20" s="47" t="s">
        <v>23</v>
      </c>
      <c r="P20" s="58" t="s">
        <v>25</v>
      </c>
      <c r="Q20" s="10" t="s">
        <v>19</v>
      </c>
      <c r="R20" s="76">
        <f>R21</f>
        <v>1530.1</v>
      </c>
      <c r="S20" s="76">
        <f>S21</f>
        <v>1332.9</v>
      </c>
      <c r="T20" s="77">
        <f>T21</f>
        <v>1393.9</v>
      </c>
    </row>
    <row r="21" spans="9:21" s="6" customFormat="1" ht="25.5" customHeight="1" x14ac:dyDescent="0.25">
      <c r="I21" s="164" t="s">
        <v>20</v>
      </c>
      <c r="J21" s="165"/>
      <c r="K21" s="165"/>
      <c r="L21" s="165"/>
      <c r="M21" s="165"/>
      <c r="N21" s="46">
        <v>931</v>
      </c>
      <c r="O21" s="47" t="s">
        <v>23</v>
      </c>
      <c r="P21" s="58" t="s">
        <v>25</v>
      </c>
      <c r="Q21" s="10" t="s">
        <v>21</v>
      </c>
      <c r="R21" s="83">
        <f>1251.1+250+49.2-17.3-3+0.1</f>
        <v>1530.1</v>
      </c>
      <c r="S21" s="88">
        <v>1332.9</v>
      </c>
      <c r="T21" s="88">
        <v>1393.9</v>
      </c>
      <c r="U21" s="6">
        <v>-17.2</v>
      </c>
    </row>
    <row r="22" spans="9:21" s="6" customFormat="1" ht="23.25" customHeight="1" x14ac:dyDescent="0.25">
      <c r="I22" s="206" t="s">
        <v>27</v>
      </c>
      <c r="J22" s="207"/>
      <c r="K22" s="207"/>
      <c r="L22" s="207"/>
      <c r="M22" s="207"/>
      <c r="N22" s="46">
        <v>931</v>
      </c>
      <c r="O22" s="47" t="s">
        <v>23</v>
      </c>
      <c r="P22" s="58" t="s">
        <v>25</v>
      </c>
      <c r="Q22" s="10" t="s">
        <v>28</v>
      </c>
      <c r="R22" s="83">
        <f>0.1+3-0.1</f>
        <v>3</v>
      </c>
      <c r="S22" s="88">
        <v>0.1</v>
      </c>
      <c r="T22" s="88">
        <v>0.1</v>
      </c>
      <c r="U22" s="6">
        <v>-0.1</v>
      </c>
    </row>
    <row r="23" spans="9:21" s="6" customFormat="1" ht="84" customHeight="1" x14ac:dyDescent="0.25">
      <c r="I23" s="173" t="s">
        <v>29</v>
      </c>
      <c r="J23" s="174"/>
      <c r="K23" s="174"/>
      <c r="L23" s="174"/>
      <c r="M23" s="174"/>
      <c r="N23" s="44">
        <v>931</v>
      </c>
      <c r="O23" s="45" t="s">
        <v>23</v>
      </c>
      <c r="P23" s="57" t="s">
        <v>30</v>
      </c>
      <c r="Q23" s="9"/>
      <c r="R23" s="84">
        <f t="shared" ref="R23:T24" si="0">R24</f>
        <v>146.30000000000001</v>
      </c>
      <c r="S23" s="74">
        <f t="shared" si="0"/>
        <v>186.9</v>
      </c>
      <c r="T23" s="75">
        <f t="shared" si="0"/>
        <v>195.4</v>
      </c>
    </row>
    <row r="24" spans="9:21" s="6" customFormat="1" ht="71.25" customHeight="1" x14ac:dyDescent="0.25">
      <c r="I24" s="164" t="s">
        <v>192</v>
      </c>
      <c r="J24" s="165"/>
      <c r="K24" s="165"/>
      <c r="L24" s="165"/>
      <c r="M24" s="165"/>
      <c r="N24" s="46">
        <v>931</v>
      </c>
      <c r="O24" s="47" t="s">
        <v>23</v>
      </c>
      <c r="P24" s="58" t="s">
        <v>30</v>
      </c>
      <c r="Q24" s="10" t="s">
        <v>14</v>
      </c>
      <c r="R24" s="83">
        <f t="shared" si="0"/>
        <v>146.30000000000001</v>
      </c>
      <c r="S24" s="76">
        <f t="shared" si="0"/>
        <v>186.9</v>
      </c>
      <c r="T24" s="77">
        <f t="shared" si="0"/>
        <v>195.4</v>
      </c>
    </row>
    <row r="25" spans="9:21" s="6" customFormat="1" ht="26.25" customHeight="1" x14ac:dyDescent="0.25">
      <c r="I25" s="217" t="s">
        <v>26</v>
      </c>
      <c r="J25" s="218"/>
      <c r="K25" s="218"/>
      <c r="L25" s="218"/>
      <c r="M25" s="218"/>
      <c r="N25" s="46">
        <v>931</v>
      </c>
      <c r="O25" s="47" t="s">
        <v>23</v>
      </c>
      <c r="P25" s="58" t="s">
        <v>30</v>
      </c>
      <c r="Q25" s="10" t="s">
        <v>16</v>
      </c>
      <c r="R25" s="83">
        <f>178.2-49.2+17.3</f>
        <v>146.30000000000001</v>
      </c>
      <c r="S25" s="88">
        <v>186.9</v>
      </c>
      <c r="T25" s="88">
        <v>195.4</v>
      </c>
      <c r="U25" s="6">
        <v>17.3</v>
      </c>
    </row>
    <row r="26" spans="9:21" s="6" customFormat="1" ht="67.5" customHeight="1" x14ac:dyDescent="0.25">
      <c r="I26" s="173" t="s">
        <v>31</v>
      </c>
      <c r="J26" s="174"/>
      <c r="K26" s="174"/>
      <c r="L26" s="174"/>
      <c r="M26" s="174"/>
      <c r="N26" s="44">
        <v>931</v>
      </c>
      <c r="O26" s="45" t="s">
        <v>23</v>
      </c>
      <c r="P26" s="59" t="s">
        <v>32</v>
      </c>
      <c r="Q26" s="10"/>
      <c r="R26" s="74">
        <f t="shared" ref="R26:T27" si="1">R27</f>
        <v>116</v>
      </c>
      <c r="S26" s="74">
        <f t="shared" si="1"/>
        <v>100.6</v>
      </c>
      <c r="T26" s="75">
        <f t="shared" si="1"/>
        <v>105.3</v>
      </c>
    </row>
    <row r="27" spans="9:21" s="6" customFormat="1" ht="19.5" customHeight="1" x14ac:dyDescent="0.25">
      <c r="I27" s="162" t="s">
        <v>33</v>
      </c>
      <c r="J27" s="163"/>
      <c r="K27" s="163"/>
      <c r="L27" s="163"/>
      <c r="M27" s="163"/>
      <c r="N27" s="46">
        <v>931</v>
      </c>
      <c r="O27" s="47" t="s">
        <v>23</v>
      </c>
      <c r="P27" s="60" t="s">
        <v>32</v>
      </c>
      <c r="Q27" s="15" t="s">
        <v>34</v>
      </c>
      <c r="R27" s="80">
        <f t="shared" si="1"/>
        <v>116</v>
      </c>
      <c r="S27" s="80">
        <f t="shared" si="1"/>
        <v>100.6</v>
      </c>
      <c r="T27" s="81">
        <f t="shared" si="1"/>
        <v>105.3</v>
      </c>
    </row>
    <row r="28" spans="9:21" s="6" customFormat="1" ht="21.75" customHeight="1" x14ac:dyDescent="0.25">
      <c r="I28" s="164" t="s">
        <v>27</v>
      </c>
      <c r="J28" s="165"/>
      <c r="K28" s="165"/>
      <c r="L28" s="165"/>
      <c r="M28" s="16"/>
      <c r="N28" s="46">
        <v>931</v>
      </c>
      <c r="O28" s="47" t="s">
        <v>23</v>
      </c>
      <c r="P28" s="60" t="s">
        <v>32</v>
      </c>
      <c r="Q28" s="15" t="s">
        <v>28</v>
      </c>
      <c r="R28" s="82">
        <v>116</v>
      </c>
      <c r="S28" s="88">
        <v>100.6</v>
      </c>
      <c r="T28" s="88">
        <v>105.3</v>
      </c>
    </row>
    <row r="29" spans="9:21" s="6" customFormat="1" ht="47.25" customHeight="1" x14ac:dyDescent="0.25">
      <c r="I29" s="173" t="s">
        <v>35</v>
      </c>
      <c r="J29" s="174"/>
      <c r="K29" s="174"/>
      <c r="L29" s="174"/>
      <c r="M29" s="13"/>
      <c r="N29" s="44">
        <v>887</v>
      </c>
      <c r="O29" s="45"/>
      <c r="P29" s="59"/>
      <c r="Q29" s="14"/>
      <c r="R29" s="74">
        <f>R30+R65+R98+R108+R164+R193+R198+R214</f>
        <v>69836.999999999985</v>
      </c>
      <c r="S29" s="74">
        <f>S30+S65+S98+S108+S164+S193+S198+S214</f>
        <v>72120.099999999991</v>
      </c>
      <c r="T29" s="75">
        <f>T30+T65+T98+T108+T164+T193+T198+T214</f>
        <v>72610.600000000006</v>
      </c>
    </row>
    <row r="30" spans="9:21" s="6" customFormat="1" ht="29.25" customHeight="1" x14ac:dyDescent="0.25">
      <c r="I30" s="173" t="s">
        <v>7</v>
      </c>
      <c r="J30" s="174"/>
      <c r="K30" s="174"/>
      <c r="L30" s="174"/>
      <c r="M30" s="174"/>
      <c r="N30" s="44">
        <v>887</v>
      </c>
      <c r="O30" s="43" t="s">
        <v>8</v>
      </c>
      <c r="P30" s="57"/>
      <c r="Q30" s="7"/>
      <c r="R30" s="74">
        <f>R31+R51+R55</f>
        <v>12173.099999999999</v>
      </c>
      <c r="S30" s="74">
        <f>S31+S51+S55</f>
        <v>13525</v>
      </c>
      <c r="T30" s="75">
        <f>T31+T51+T55</f>
        <v>14141.500000000002</v>
      </c>
    </row>
    <row r="31" spans="9:21" s="17" customFormat="1" ht="60" customHeight="1" x14ac:dyDescent="0.25">
      <c r="I31" s="173" t="s">
        <v>36</v>
      </c>
      <c r="J31" s="174"/>
      <c r="K31" s="174"/>
      <c r="L31" s="174"/>
      <c r="M31" s="21"/>
      <c r="N31" s="44">
        <v>887</v>
      </c>
      <c r="O31" s="45" t="s">
        <v>37</v>
      </c>
      <c r="P31" s="57"/>
      <c r="Q31" s="9"/>
      <c r="R31" s="74">
        <f>R35+R38+R46</f>
        <v>11950.599999999999</v>
      </c>
      <c r="S31" s="74">
        <f>S35+S38+S46</f>
        <v>13292</v>
      </c>
      <c r="T31" s="75">
        <f>T35+T38+T46</f>
        <v>13898.800000000001</v>
      </c>
    </row>
    <row r="32" spans="9:21" s="17" customFormat="1" ht="14.25" hidden="1" customHeight="1" x14ac:dyDescent="0.25">
      <c r="I32" s="219" t="s">
        <v>193</v>
      </c>
      <c r="J32" s="220"/>
      <c r="K32" s="220"/>
      <c r="L32" s="220"/>
      <c r="M32" s="220"/>
      <c r="N32" s="44">
        <v>887</v>
      </c>
      <c r="O32" s="45" t="s">
        <v>37</v>
      </c>
      <c r="P32" s="57" t="s">
        <v>38</v>
      </c>
      <c r="Q32" s="9"/>
      <c r="R32" s="74">
        <f t="shared" ref="R32:T33" si="2">R33</f>
        <v>0</v>
      </c>
      <c r="S32" s="74">
        <f t="shared" si="2"/>
        <v>0</v>
      </c>
      <c r="T32" s="75">
        <f t="shared" si="2"/>
        <v>0</v>
      </c>
    </row>
    <row r="33" spans="9:21" s="17" customFormat="1" ht="15" hidden="1" customHeight="1" x14ac:dyDescent="0.25">
      <c r="I33" s="164" t="s">
        <v>192</v>
      </c>
      <c r="J33" s="165"/>
      <c r="K33" s="165"/>
      <c r="L33" s="165"/>
      <c r="M33" s="165"/>
      <c r="N33" s="44">
        <v>887</v>
      </c>
      <c r="O33" s="47" t="s">
        <v>37</v>
      </c>
      <c r="P33" s="58" t="s">
        <v>38</v>
      </c>
      <c r="Q33" s="10" t="s">
        <v>14</v>
      </c>
      <c r="R33" s="76">
        <f t="shared" si="2"/>
        <v>0</v>
      </c>
      <c r="S33" s="76">
        <f t="shared" si="2"/>
        <v>0</v>
      </c>
      <c r="T33" s="77">
        <f t="shared" si="2"/>
        <v>0</v>
      </c>
    </row>
    <row r="34" spans="9:21" s="17" customFormat="1" ht="15" hidden="1" customHeight="1" x14ac:dyDescent="0.25">
      <c r="I34" s="164" t="s">
        <v>39</v>
      </c>
      <c r="J34" s="165"/>
      <c r="K34" s="165"/>
      <c r="L34" s="165"/>
      <c r="M34" s="11"/>
      <c r="N34" s="44">
        <v>887</v>
      </c>
      <c r="O34" s="47" t="s">
        <v>37</v>
      </c>
      <c r="P34" s="58" t="s">
        <v>38</v>
      </c>
      <c r="Q34" s="10" t="s">
        <v>16</v>
      </c>
      <c r="R34" s="76"/>
      <c r="S34" s="76"/>
      <c r="T34" s="77"/>
    </row>
    <row r="35" spans="9:21" s="6" customFormat="1" ht="15" hidden="1" customHeight="1" x14ac:dyDescent="0.25">
      <c r="I35" s="160" t="s">
        <v>40</v>
      </c>
      <c r="J35" s="161"/>
      <c r="K35" s="161"/>
      <c r="L35" s="161"/>
      <c r="M35" s="26"/>
      <c r="N35" s="44">
        <v>887</v>
      </c>
      <c r="O35" s="45" t="s">
        <v>37</v>
      </c>
      <c r="P35" s="57" t="s">
        <v>41</v>
      </c>
      <c r="Q35" s="9"/>
      <c r="R35" s="74">
        <f t="shared" ref="R35:T36" si="3">R36</f>
        <v>0</v>
      </c>
      <c r="S35" s="74">
        <f t="shared" si="3"/>
        <v>0</v>
      </c>
      <c r="T35" s="75">
        <f t="shared" si="3"/>
        <v>0</v>
      </c>
    </row>
    <row r="36" spans="9:21" s="6" customFormat="1" ht="15" hidden="1" customHeight="1" x14ac:dyDescent="0.25">
      <c r="I36" s="204" t="s">
        <v>13</v>
      </c>
      <c r="J36" s="205"/>
      <c r="K36" s="205"/>
      <c r="L36" s="205"/>
      <c r="M36" s="18"/>
      <c r="N36" s="46">
        <v>887</v>
      </c>
      <c r="O36" s="47" t="s">
        <v>37</v>
      </c>
      <c r="P36" s="58" t="s">
        <v>41</v>
      </c>
      <c r="Q36" s="10" t="s">
        <v>14</v>
      </c>
      <c r="R36" s="76">
        <f t="shared" si="3"/>
        <v>0</v>
      </c>
      <c r="S36" s="76">
        <f t="shared" si="3"/>
        <v>0</v>
      </c>
      <c r="T36" s="77">
        <f t="shared" si="3"/>
        <v>0</v>
      </c>
    </row>
    <row r="37" spans="9:21" s="6" customFormat="1" ht="15" hidden="1" customHeight="1" x14ac:dyDescent="0.25">
      <c r="I37" s="164" t="s">
        <v>15</v>
      </c>
      <c r="J37" s="165"/>
      <c r="K37" s="165"/>
      <c r="L37" s="165"/>
      <c r="M37" s="18"/>
      <c r="N37" s="46">
        <v>887</v>
      </c>
      <c r="O37" s="47" t="s">
        <v>37</v>
      </c>
      <c r="P37" s="58" t="s">
        <v>41</v>
      </c>
      <c r="Q37" s="10" t="s">
        <v>16</v>
      </c>
      <c r="R37" s="76"/>
      <c r="S37" s="76"/>
      <c r="T37" s="77"/>
    </row>
    <row r="38" spans="9:21" s="6" customFormat="1" ht="66" customHeight="1" x14ac:dyDescent="0.25">
      <c r="I38" s="160" t="s">
        <v>42</v>
      </c>
      <c r="J38" s="161"/>
      <c r="K38" s="161"/>
      <c r="L38" s="161"/>
      <c r="M38" s="26"/>
      <c r="N38" s="44">
        <v>887</v>
      </c>
      <c r="O38" s="45" t="s">
        <v>37</v>
      </c>
      <c r="P38" s="57" t="s">
        <v>38</v>
      </c>
      <c r="Q38" s="9"/>
      <c r="R38" s="74">
        <f>R39+R41+R43</f>
        <v>10807.699999999999</v>
      </c>
      <c r="S38" s="74">
        <f>S39+S41+S43</f>
        <v>12093.6</v>
      </c>
      <c r="T38" s="75">
        <f>T39+T41+T43</f>
        <v>12645.7</v>
      </c>
    </row>
    <row r="39" spans="9:21" s="6" customFormat="1" ht="71.25" customHeight="1" x14ac:dyDescent="0.25">
      <c r="I39" s="164" t="s">
        <v>13</v>
      </c>
      <c r="J39" s="165"/>
      <c r="K39" s="165"/>
      <c r="L39" s="165"/>
      <c r="M39" s="18"/>
      <c r="N39" s="46">
        <v>887</v>
      </c>
      <c r="O39" s="47" t="s">
        <v>37</v>
      </c>
      <c r="P39" s="58" t="s">
        <v>38</v>
      </c>
      <c r="Q39" s="10" t="s">
        <v>14</v>
      </c>
      <c r="R39" s="76">
        <f>R40</f>
        <v>9165.1999999999989</v>
      </c>
      <c r="S39" s="76">
        <f>S40</f>
        <v>10109.1</v>
      </c>
      <c r="T39" s="77">
        <f>T40</f>
        <v>10570.7</v>
      </c>
    </row>
    <row r="40" spans="9:21" s="6" customFormat="1" ht="30.75" customHeight="1" x14ac:dyDescent="0.25">
      <c r="I40" s="217" t="s">
        <v>15</v>
      </c>
      <c r="J40" s="218"/>
      <c r="K40" s="218"/>
      <c r="L40" s="218"/>
      <c r="M40" s="18"/>
      <c r="N40" s="46">
        <v>887</v>
      </c>
      <c r="O40" s="47" t="s">
        <v>37</v>
      </c>
      <c r="P40" s="58" t="s">
        <v>38</v>
      </c>
      <c r="Q40" s="10" t="s">
        <v>16</v>
      </c>
      <c r="R40" s="76">
        <f>9641.6-567.2+90.8</f>
        <v>9165.1999999999989</v>
      </c>
      <c r="S40" s="88">
        <v>10109.1</v>
      </c>
      <c r="T40" s="88">
        <v>10570.7</v>
      </c>
    </row>
    <row r="41" spans="9:21" s="6" customFormat="1" ht="30" customHeight="1" x14ac:dyDescent="0.25">
      <c r="I41" s="164" t="s">
        <v>17</v>
      </c>
      <c r="J41" s="165"/>
      <c r="K41" s="165"/>
      <c r="L41" s="165"/>
      <c r="M41" s="18"/>
      <c r="N41" s="46">
        <v>887</v>
      </c>
      <c r="O41" s="47" t="s">
        <v>37</v>
      </c>
      <c r="P41" s="58" t="s">
        <v>38</v>
      </c>
      <c r="Q41" s="10" t="s">
        <v>19</v>
      </c>
      <c r="R41" s="76">
        <f>R42</f>
        <v>1638</v>
      </c>
      <c r="S41" s="76">
        <f>S42</f>
        <v>1979.4</v>
      </c>
      <c r="T41" s="77">
        <f>T42</f>
        <v>2069.9</v>
      </c>
    </row>
    <row r="42" spans="9:21" s="6" customFormat="1" ht="28.5" customHeight="1" x14ac:dyDescent="0.25">
      <c r="I42" s="175" t="s">
        <v>20</v>
      </c>
      <c r="J42" s="176"/>
      <c r="K42" s="176"/>
      <c r="L42" s="176"/>
      <c r="M42" s="19"/>
      <c r="N42" s="48">
        <v>887</v>
      </c>
      <c r="O42" s="49" t="s">
        <v>37</v>
      </c>
      <c r="P42" s="61" t="s">
        <v>38</v>
      </c>
      <c r="Q42" s="20" t="s">
        <v>21</v>
      </c>
      <c r="R42" s="83">
        <f>1887.9-250+0.1</f>
        <v>1638</v>
      </c>
      <c r="S42" s="88">
        <v>1979.4</v>
      </c>
      <c r="T42" s="88">
        <v>2069.9</v>
      </c>
      <c r="U42" s="6">
        <v>0.1</v>
      </c>
    </row>
    <row r="43" spans="9:21" s="6" customFormat="1" ht="20.25" customHeight="1" x14ac:dyDescent="0.25">
      <c r="I43" s="164" t="s">
        <v>33</v>
      </c>
      <c r="J43" s="165"/>
      <c r="K43" s="165"/>
      <c r="L43" s="165"/>
      <c r="M43" s="18"/>
      <c r="N43" s="46">
        <v>887</v>
      </c>
      <c r="O43" s="47" t="s">
        <v>37</v>
      </c>
      <c r="P43" s="58" t="s">
        <v>38</v>
      </c>
      <c r="Q43" s="10" t="s">
        <v>34</v>
      </c>
      <c r="R43" s="83">
        <f>R45+R44</f>
        <v>4.5</v>
      </c>
      <c r="S43" s="76">
        <f>S45+S44</f>
        <v>5.0999999999999996</v>
      </c>
      <c r="T43" s="77">
        <f>T45+T44</f>
        <v>5.0999999999999996</v>
      </c>
    </row>
    <row r="44" spans="9:21" s="6" customFormat="1" ht="102.75" customHeight="1" x14ac:dyDescent="0.25">
      <c r="I44" s="164" t="s">
        <v>43</v>
      </c>
      <c r="J44" s="165"/>
      <c r="K44" s="165"/>
      <c r="L44" s="165"/>
      <c r="M44" s="18"/>
      <c r="N44" s="46">
        <v>887</v>
      </c>
      <c r="O44" s="47" t="s">
        <v>37</v>
      </c>
      <c r="P44" s="58" t="s">
        <v>38</v>
      </c>
      <c r="Q44" s="10" t="s">
        <v>44</v>
      </c>
      <c r="R44" s="83">
        <f>0</f>
        <v>0</v>
      </c>
      <c r="S44" s="88">
        <v>0</v>
      </c>
      <c r="T44" s="88">
        <v>0</v>
      </c>
    </row>
    <row r="45" spans="9:21" s="6" customFormat="1" ht="20.25" customHeight="1" x14ac:dyDescent="0.25">
      <c r="I45" s="164" t="s">
        <v>27</v>
      </c>
      <c r="J45" s="165"/>
      <c r="K45" s="165"/>
      <c r="L45" s="165"/>
      <c r="M45" s="18"/>
      <c r="N45" s="46">
        <v>887</v>
      </c>
      <c r="O45" s="47" t="s">
        <v>37</v>
      </c>
      <c r="P45" s="58" t="s">
        <v>38</v>
      </c>
      <c r="Q45" s="10" t="s">
        <v>28</v>
      </c>
      <c r="R45" s="91">
        <f>4.6-0.1</f>
        <v>4.5</v>
      </c>
      <c r="S45" s="92">
        <v>5.0999999999999996</v>
      </c>
      <c r="T45" s="92">
        <v>5.0999999999999996</v>
      </c>
      <c r="U45" s="6">
        <v>-0.1</v>
      </c>
    </row>
    <row r="46" spans="9:21" s="6" customFormat="1" ht="81" customHeight="1" x14ac:dyDescent="0.25">
      <c r="I46" s="160" t="s">
        <v>205</v>
      </c>
      <c r="J46" s="161"/>
      <c r="K46" s="161"/>
      <c r="L46" s="161"/>
      <c r="M46" s="13"/>
      <c r="N46" s="44">
        <v>887</v>
      </c>
      <c r="O46" s="45" t="s">
        <v>37</v>
      </c>
      <c r="P46" s="57" t="s">
        <v>45</v>
      </c>
      <c r="Q46" s="34"/>
      <c r="R46" s="95">
        <f>R47+R49</f>
        <v>1142.9000000000001</v>
      </c>
      <c r="S46" s="96">
        <f>S47+S49</f>
        <v>1198.4000000000001</v>
      </c>
      <c r="T46" s="97">
        <f>T47+T49</f>
        <v>1253.1000000000001</v>
      </c>
    </row>
    <row r="47" spans="9:21" s="6" customFormat="1" ht="75.75" customHeight="1" x14ac:dyDescent="0.25">
      <c r="I47" s="164" t="s">
        <v>192</v>
      </c>
      <c r="J47" s="165"/>
      <c r="K47" s="165"/>
      <c r="L47" s="165"/>
      <c r="M47" s="165"/>
      <c r="N47" s="46">
        <v>887</v>
      </c>
      <c r="O47" s="47" t="s">
        <v>37</v>
      </c>
      <c r="P47" s="58" t="s">
        <v>45</v>
      </c>
      <c r="Q47" s="10" t="s">
        <v>14</v>
      </c>
      <c r="R47" s="93">
        <f>R48</f>
        <v>1063.4000000000001</v>
      </c>
      <c r="S47" s="93">
        <f>S48</f>
        <v>1115</v>
      </c>
      <c r="T47" s="94">
        <f>T48</f>
        <v>1165.9000000000001</v>
      </c>
    </row>
    <row r="48" spans="9:21" s="6" customFormat="1" ht="30" customHeight="1" x14ac:dyDescent="0.25">
      <c r="I48" s="164" t="s">
        <v>15</v>
      </c>
      <c r="J48" s="165"/>
      <c r="K48" s="165"/>
      <c r="L48" s="165"/>
      <c r="M48" s="11"/>
      <c r="N48" s="46">
        <v>887</v>
      </c>
      <c r="O48" s="47" t="s">
        <v>37</v>
      </c>
      <c r="P48" s="58" t="s">
        <v>45</v>
      </c>
      <c r="Q48" s="10" t="s">
        <v>16</v>
      </c>
      <c r="R48" s="76">
        <v>1063.4000000000001</v>
      </c>
      <c r="S48" s="88">
        <v>1115</v>
      </c>
      <c r="T48" s="88">
        <v>1165.9000000000001</v>
      </c>
    </row>
    <row r="49" spans="9:20" s="6" customFormat="1" ht="28.5" customHeight="1" x14ac:dyDescent="0.25">
      <c r="I49" s="162" t="s">
        <v>17</v>
      </c>
      <c r="J49" s="163"/>
      <c r="K49" s="163"/>
      <c r="L49" s="163"/>
      <c r="M49" s="163"/>
      <c r="N49" s="46">
        <v>887</v>
      </c>
      <c r="O49" s="47" t="s">
        <v>37</v>
      </c>
      <c r="P49" s="58" t="s">
        <v>45</v>
      </c>
      <c r="Q49" s="10" t="s">
        <v>19</v>
      </c>
      <c r="R49" s="76">
        <f>R50</f>
        <v>79.5</v>
      </c>
      <c r="S49" s="76">
        <f>S50</f>
        <v>83.4</v>
      </c>
      <c r="T49" s="77">
        <f>T50</f>
        <v>87.2</v>
      </c>
    </row>
    <row r="50" spans="9:20" s="6" customFormat="1" ht="28.5" customHeight="1" x14ac:dyDescent="0.25">
      <c r="I50" s="164" t="s">
        <v>20</v>
      </c>
      <c r="J50" s="165"/>
      <c r="K50" s="165"/>
      <c r="L50" s="165"/>
      <c r="M50" s="18"/>
      <c r="N50" s="46">
        <v>887</v>
      </c>
      <c r="O50" s="47" t="s">
        <v>37</v>
      </c>
      <c r="P50" s="58" t="s">
        <v>45</v>
      </c>
      <c r="Q50" s="10" t="s">
        <v>21</v>
      </c>
      <c r="R50" s="76">
        <v>79.5</v>
      </c>
      <c r="S50" s="88">
        <v>83.4</v>
      </c>
      <c r="T50" s="88">
        <v>87.2</v>
      </c>
    </row>
    <row r="51" spans="9:20" s="17" customFormat="1" ht="23.25" customHeight="1" x14ac:dyDescent="0.25">
      <c r="I51" s="173" t="s">
        <v>190</v>
      </c>
      <c r="J51" s="174"/>
      <c r="K51" s="174"/>
      <c r="L51" s="174"/>
      <c r="M51" s="21"/>
      <c r="N51" s="44">
        <v>887</v>
      </c>
      <c r="O51" s="45" t="s">
        <v>46</v>
      </c>
      <c r="P51" s="57"/>
      <c r="Q51" s="9"/>
      <c r="R51" s="74">
        <f t="shared" ref="R51:T53" si="4">R52</f>
        <v>20</v>
      </c>
      <c r="S51" s="74">
        <f t="shared" si="4"/>
        <v>20</v>
      </c>
      <c r="T51" s="75">
        <f t="shared" si="4"/>
        <v>20</v>
      </c>
    </row>
    <row r="52" spans="9:20" s="6" customFormat="1" ht="27" customHeight="1" x14ac:dyDescent="0.25">
      <c r="I52" s="162" t="s">
        <v>170</v>
      </c>
      <c r="J52" s="214"/>
      <c r="K52" s="214"/>
      <c r="L52" s="215"/>
      <c r="M52" s="123"/>
      <c r="N52" s="46">
        <v>887</v>
      </c>
      <c r="O52" s="47" t="s">
        <v>46</v>
      </c>
      <c r="P52" s="58" t="s">
        <v>47</v>
      </c>
      <c r="Q52" s="10"/>
      <c r="R52" s="76">
        <f t="shared" si="4"/>
        <v>20</v>
      </c>
      <c r="S52" s="76">
        <f t="shared" si="4"/>
        <v>20</v>
      </c>
      <c r="T52" s="77">
        <f t="shared" si="4"/>
        <v>20</v>
      </c>
    </row>
    <row r="53" spans="9:20" s="6" customFormat="1" ht="20.25" customHeight="1" x14ac:dyDescent="0.25">
      <c r="I53" s="103" t="s">
        <v>33</v>
      </c>
      <c r="J53" s="104"/>
      <c r="K53" s="104"/>
      <c r="L53" s="104"/>
      <c r="M53" s="104"/>
      <c r="N53" s="46">
        <v>887</v>
      </c>
      <c r="O53" s="47" t="s">
        <v>46</v>
      </c>
      <c r="P53" s="58" t="s">
        <v>47</v>
      </c>
      <c r="Q53" s="10" t="s">
        <v>34</v>
      </c>
      <c r="R53" s="76">
        <f t="shared" si="4"/>
        <v>20</v>
      </c>
      <c r="S53" s="76">
        <f t="shared" si="4"/>
        <v>20</v>
      </c>
      <c r="T53" s="77">
        <f t="shared" si="4"/>
        <v>20</v>
      </c>
    </row>
    <row r="54" spans="9:20" s="6" customFormat="1" ht="21.75" customHeight="1" x14ac:dyDescent="0.25">
      <c r="I54" s="164" t="s">
        <v>170</v>
      </c>
      <c r="J54" s="216"/>
      <c r="K54" s="216"/>
      <c r="L54" s="216"/>
      <c r="M54" s="22"/>
      <c r="N54" s="46">
        <v>887</v>
      </c>
      <c r="O54" s="47" t="s">
        <v>46</v>
      </c>
      <c r="P54" s="58" t="s">
        <v>47</v>
      </c>
      <c r="Q54" s="10" t="s">
        <v>48</v>
      </c>
      <c r="R54" s="76">
        <v>20</v>
      </c>
      <c r="S54" s="88">
        <v>20</v>
      </c>
      <c r="T54" s="88">
        <v>20</v>
      </c>
    </row>
    <row r="55" spans="9:20" s="6" customFormat="1" ht="27" customHeight="1" x14ac:dyDescent="0.25">
      <c r="I55" s="173" t="s">
        <v>49</v>
      </c>
      <c r="J55" s="174"/>
      <c r="K55" s="174"/>
      <c r="L55" s="174"/>
      <c r="M55" s="22"/>
      <c r="N55" s="44">
        <v>887</v>
      </c>
      <c r="O55" s="45" t="s">
        <v>50</v>
      </c>
      <c r="P55" s="57" t="s">
        <v>51</v>
      </c>
      <c r="Q55" s="9"/>
      <c r="R55" s="74">
        <f>R56+R59+R62</f>
        <v>202.5</v>
      </c>
      <c r="S55" s="74">
        <f>S56+S59+S62</f>
        <v>213</v>
      </c>
      <c r="T55" s="74">
        <f>T56+T59+T62</f>
        <v>222.7</v>
      </c>
    </row>
    <row r="56" spans="9:20" s="6" customFormat="1" ht="75" customHeight="1" x14ac:dyDescent="0.25">
      <c r="I56" s="173" t="s">
        <v>206</v>
      </c>
      <c r="J56" s="174"/>
      <c r="K56" s="174"/>
      <c r="L56" s="174"/>
      <c r="M56" s="18"/>
      <c r="N56" s="44">
        <v>887</v>
      </c>
      <c r="O56" s="45" t="s">
        <v>50</v>
      </c>
      <c r="P56" s="57" t="s">
        <v>52</v>
      </c>
      <c r="Q56" s="9"/>
      <c r="R56" s="74">
        <f t="shared" ref="R56:T57" si="5">R57</f>
        <v>8.8000000000000007</v>
      </c>
      <c r="S56" s="74">
        <f t="shared" si="5"/>
        <v>9.1999999999999993</v>
      </c>
      <c r="T56" s="75">
        <f t="shared" si="5"/>
        <v>9.6</v>
      </c>
    </row>
    <row r="57" spans="9:20" s="6" customFormat="1" ht="28.5" customHeight="1" x14ac:dyDescent="0.25">
      <c r="I57" s="164" t="s">
        <v>17</v>
      </c>
      <c r="J57" s="165"/>
      <c r="K57" s="165"/>
      <c r="L57" s="165"/>
      <c r="M57" s="18"/>
      <c r="N57" s="46">
        <v>887</v>
      </c>
      <c r="O57" s="47" t="s">
        <v>50</v>
      </c>
      <c r="P57" s="58" t="s">
        <v>52</v>
      </c>
      <c r="Q57" s="10" t="s">
        <v>19</v>
      </c>
      <c r="R57" s="76">
        <f t="shared" si="5"/>
        <v>8.8000000000000007</v>
      </c>
      <c r="S57" s="76">
        <f t="shared" si="5"/>
        <v>9.1999999999999993</v>
      </c>
      <c r="T57" s="77">
        <f t="shared" si="5"/>
        <v>9.6</v>
      </c>
    </row>
    <row r="58" spans="9:20" s="6" customFormat="1" ht="30" customHeight="1" x14ac:dyDescent="0.25">
      <c r="I58" s="164" t="s">
        <v>20</v>
      </c>
      <c r="J58" s="165"/>
      <c r="K58" s="165"/>
      <c r="L58" s="165"/>
      <c r="M58" s="18"/>
      <c r="N58" s="46">
        <v>887</v>
      </c>
      <c r="O58" s="47" t="s">
        <v>50</v>
      </c>
      <c r="P58" s="58" t="s">
        <v>52</v>
      </c>
      <c r="Q58" s="10" t="s">
        <v>21</v>
      </c>
      <c r="R58" s="83">
        <v>8.8000000000000007</v>
      </c>
      <c r="S58" s="100">
        <v>9.1999999999999993</v>
      </c>
      <c r="T58" s="100">
        <v>9.6</v>
      </c>
    </row>
    <row r="59" spans="9:20" s="6" customFormat="1" ht="30" customHeight="1" x14ac:dyDescent="0.25">
      <c r="I59" s="212" t="s">
        <v>197</v>
      </c>
      <c r="J59" s="213"/>
      <c r="K59" s="213"/>
      <c r="L59" s="213"/>
      <c r="M59" s="125"/>
      <c r="N59" s="126">
        <v>887</v>
      </c>
      <c r="O59" s="127" t="s">
        <v>50</v>
      </c>
      <c r="P59" s="128" t="s">
        <v>198</v>
      </c>
      <c r="Q59" s="116"/>
      <c r="R59" s="84">
        <f t="shared" ref="R59:T63" si="6">R60</f>
        <v>90</v>
      </c>
      <c r="S59" s="84">
        <f t="shared" si="6"/>
        <v>94.4</v>
      </c>
      <c r="T59" s="85">
        <f t="shared" si="6"/>
        <v>98.7</v>
      </c>
    </row>
    <row r="60" spans="9:20" s="6" customFormat="1" ht="30" customHeight="1" x14ac:dyDescent="0.25">
      <c r="I60" s="164" t="s">
        <v>17</v>
      </c>
      <c r="J60" s="165"/>
      <c r="K60" s="165"/>
      <c r="L60" s="165"/>
      <c r="M60" s="18"/>
      <c r="N60" s="46">
        <v>887</v>
      </c>
      <c r="O60" s="47" t="s">
        <v>50</v>
      </c>
      <c r="P60" s="58" t="s">
        <v>198</v>
      </c>
      <c r="Q60" s="10" t="s">
        <v>19</v>
      </c>
      <c r="R60" s="76">
        <f t="shared" si="6"/>
        <v>90</v>
      </c>
      <c r="S60" s="76">
        <f t="shared" si="6"/>
        <v>94.4</v>
      </c>
      <c r="T60" s="77">
        <f t="shared" si="6"/>
        <v>98.7</v>
      </c>
    </row>
    <row r="61" spans="9:20" s="6" customFormat="1" ht="30" customHeight="1" x14ac:dyDescent="0.25">
      <c r="I61" s="164" t="s">
        <v>20</v>
      </c>
      <c r="J61" s="165"/>
      <c r="K61" s="165"/>
      <c r="L61" s="165"/>
      <c r="M61" s="18"/>
      <c r="N61" s="46">
        <v>887</v>
      </c>
      <c r="O61" s="47" t="s">
        <v>50</v>
      </c>
      <c r="P61" s="115" t="s">
        <v>198</v>
      </c>
      <c r="Q61" s="116" t="s">
        <v>21</v>
      </c>
      <c r="R61" s="117">
        <v>90</v>
      </c>
      <c r="S61" s="118">
        <v>94.4</v>
      </c>
      <c r="T61" s="118">
        <v>98.7</v>
      </c>
    </row>
    <row r="62" spans="9:20" s="6" customFormat="1" ht="30" customHeight="1" x14ac:dyDescent="0.25">
      <c r="I62" s="212" t="s">
        <v>53</v>
      </c>
      <c r="J62" s="213"/>
      <c r="K62" s="213"/>
      <c r="L62" s="213"/>
      <c r="M62" s="21"/>
      <c r="N62" s="44">
        <v>887</v>
      </c>
      <c r="O62" s="45" t="s">
        <v>50</v>
      </c>
      <c r="P62" s="57" t="s">
        <v>54</v>
      </c>
      <c r="Q62" s="10"/>
      <c r="R62" s="74">
        <f t="shared" si="6"/>
        <v>103.7</v>
      </c>
      <c r="S62" s="74">
        <f t="shared" si="6"/>
        <v>109.4</v>
      </c>
      <c r="T62" s="75">
        <f t="shared" si="6"/>
        <v>114.4</v>
      </c>
    </row>
    <row r="63" spans="9:20" s="6" customFormat="1" ht="30" customHeight="1" x14ac:dyDescent="0.25">
      <c r="I63" s="164" t="s">
        <v>17</v>
      </c>
      <c r="J63" s="165"/>
      <c r="K63" s="165"/>
      <c r="L63" s="165"/>
      <c r="M63" s="18"/>
      <c r="N63" s="46">
        <v>887</v>
      </c>
      <c r="O63" s="47" t="s">
        <v>50</v>
      </c>
      <c r="P63" s="58" t="s">
        <v>54</v>
      </c>
      <c r="Q63" s="10" t="s">
        <v>19</v>
      </c>
      <c r="R63" s="91">
        <f t="shared" si="6"/>
        <v>103.7</v>
      </c>
      <c r="S63" s="91">
        <f t="shared" si="6"/>
        <v>109.4</v>
      </c>
      <c r="T63" s="113">
        <f t="shared" si="6"/>
        <v>114.4</v>
      </c>
    </row>
    <row r="64" spans="9:20" s="6" customFormat="1" ht="30" customHeight="1" x14ac:dyDescent="0.25">
      <c r="I64" s="164" t="s">
        <v>20</v>
      </c>
      <c r="J64" s="165"/>
      <c r="K64" s="165"/>
      <c r="L64" s="165"/>
      <c r="M64" s="18"/>
      <c r="N64" s="46">
        <v>887</v>
      </c>
      <c r="O64" s="47" t="s">
        <v>50</v>
      </c>
      <c r="P64" s="58" t="s">
        <v>54</v>
      </c>
      <c r="Q64" s="111" t="s">
        <v>21</v>
      </c>
      <c r="R64" s="112">
        <v>103.7</v>
      </c>
      <c r="S64" s="88">
        <v>109.4</v>
      </c>
      <c r="T64" s="88">
        <v>114.4</v>
      </c>
    </row>
    <row r="65" spans="1:20" s="17" customFormat="1" ht="31.5" customHeight="1" x14ac:dyDescent="0.25">
      <c r="I65" s="173" t="s">
        <v>55</v>
      </c>
      <c r="J65" s="174"/>
      <c r="K65" s="174"/>
      <c r="L65" s="174"/>
      <c r="M65" s="21"/>
      <c r="N65" s="44">
        <v>887</v>
      </c>
      <c r="O65" s="45" t="s">
        <v>56</v>
      </c>
      <c r="P65" s="57"/>
      <c r="Q65" s="14"/>
      <c r="R65" s="72">
        <f>R70+R73</f>
        <v>104.4</v>
      </c>
      <c r="S65" s="72">
        <f>S70+S73</f>
        <v>109.8</v>
      </c>
      <c r="T65" s="73">
        <f>T70+T73</f>
        <v>114.60000000000001</v>
      </c>
    </row>
    <row r="66" spans="1:20" s="17" customFormat="1" ht="41.25" customHeight="1" x14ac:dyDescent="0.25">
      <c r="I66" s="173" t="s">
        <v>203</v>
      </c>
      <c r="J66" s="174"/>
      <c r="K66" s="174"/>
      <c r="L66" s="174"/>
      <c r="M66" s="21"/>
      <c r="N66" s="44">
        <v>887</v>
      </c>
      <c r="O66" s="45" t="s">
        <v>57</v>
      </c>
      <c r="P66" s="57"/>
      <c r="Q66" s="14"/>
      <c r="R66" s="74">
        <f>R67+R70</f>
        <v>37.1</v>
      </c>
      <c r="S66" s="74">
        <f>S67+S70</f>
        <v>39</v>
      </c>
      <c r="T66" s="75">
        <f>T67+T70</f>
        <v>40.799999999999997</v>
      </c>
    </row>
    <row r="67" spans="1:20" s="6" customFormat="1" ht="81" hidden="1" customHeight="1" x14ac:dyDescent="0.25">
      <c r="A67" s="17"/>
      <c r="B67" s="17"/>
      <c r="C67" s="17"/>
      <c r="D67" s="17"/>
      <c r="E67" s="17"/>
      <c r="F67" s="17"/>
      <c r="G67" s="17"/>
      <c r="H67" s="17"/>
      <c r="I67" s="173" t="s">
        <v>58</v>
      </c>
      <c r="J67" s="174"/>
      <c r="K67" s="174"/>
      <c r="L67" s="174"/>
      <c r="M67" s="21"/>
      <c r="N67" s="44">
        <v>887</v>
      </c>
      <c r="O67" s="45" t="s">
        <v>59</v>
      </c>
      <c r="P67" s="57" t="s">
        <v>60</v>
      </c>
      <c r="Q67" s="9"/>
      <c r="R67" s="74">
        <f t="shared" ref="R67:T68" si="7">R68</f>
        <v>0</v>
      </c>
      <c r="S67" s="74">
        <f t="shared" si="7"/>
        <v>0</v>
      </c>
      <c r="T67" s="75">
        <f t="shared" si="7"/>
        <v>0</v>
      </c>
    </row>
    <row r="68" spans="1:20" s="6" customFormat="1" ht="59.25" hidden="1" customHeight="1" x14ac:dyDescent="0.25">
      <c r="I68" s="164" t="s">
        <v>17</v>
      </c>
      <c r="J68" s="165"/>
      <c r="K68" s="165"/>
      <c r="L68" s="165"/>
      <c r="M68" s="165"/>
      <c r="N68" s="44">
        <v>887</v>
      </c>
      <c r="O68" s="47" t="s">
        <v>59</v>
      </c>
      <c r="P68" s="58" t="s">
        <v>60</v>
      </c>
      <c r="Q68" s="10" t="s">
        <v>19</v>
      </c>
      <c r="R68" s="76">
        <f t="shared" si="7"/>
        <v>0</v>
      </c>
      <c r="S68" s="76">
        <f t="shared" si="7"/>
        <v>0</v>
      </c>
      <c r="T68" s="77">
        <f t="shared" si="7"/>
        <v>0</v>
      </c>
    </row>
    <row r="69" spans="1:20" s="6" customFormat="1" ht="42" hidden="1" customHeight="1" x14ac:dyDescent="0.25">
      <c r="I69" s="164" t="s">
        <v>20</v>
      </c>
      <c r="J69" s="165"/>
      <c r="K69" s="165"/>
      <c r="L69" s="165"/>
      <c r="M69" s="11"/>
      <c r="N69" s="44">
        <v>887</v>
      </c>
      <c r="O69" s="47" t="s">
        <v>59</v>
      </c>
      <c r="P69" s="58" t="s">
        <v>60</v>
      </c>
      <c r="Q69" s="10" t="s">
        <v>21</v>
      </c>
      <c r="R69" s="76"/>
      <c r="S69" s="76"/>
      <c r="T69" s="77"/>
    </row>
    <row r="70" spans="1:20" s="6" customFormat="1" ht="84" customHeight="1" x14ac:dyDescent="0.25">
      <c r="A70" s="17"/>
      <c r="B70" s="17"/>
      <c r="C70" s="17"/>
      <c r="D70" s="17"/>
      <c r="E70" s="17"/>
      <c r="F70" s="17"/>
      <c r="G70" s="17"/>
      <c r="H70" s="17"/>
      <c r="I70" s="173" t="s">
        <v>61</v>
      </c>
      <c r="J70" s="174"/>
      <c r="K70" s="174"/>
      <c r="L70" s="174"/>
      <c r="M70" s="21"/>
      <c r="N70" s="44">
        <v>887</v>
      </c>
      <c r="O70" s="45" t="s">
        <v>57</v>
      </c>
      <c r="P70" s="57" t="s">
        <v>62</v>
      </c>
      <c r="Q70" s="9"/>
      <c r="R70" s="84">
        <f t="shared" ref="R70:T71" si="8">R71</f>
        <v>37.1</v>
      </c>
      <c r="S70" s="84">
        <f t="shared" si="8"/>
        <v>39</v>
      </c>
      <c r="T70" s="85">
        <f t="shared" si="8"/>
        <v>40.799999999999997</v>
      </c>
    </row>
    <row r="71" spans="1:20" s="6" customFormat="1" ht="29.25" customHeight="1" x14ac:dyDescent="0.25">
      <c r="I71" s="162" t="s">
        <v>17</v>
      </c>
      <c r="J71" s="163"/>
      <c r="K71" s="163"/>
      <c r="L71" s="163"/>
      <c r="M71" s="163"/>
      <c r="N71" s="46">
        <v>887</v>
      </c>
      <c r="O71" s="47" t="s">
        <v>57</v>
      </c>
      <c r="P71" s="58" t="s">
        <v>62</v>
      </c>
      <c r="Q71" s="10" t="s">
        <v>19</v>
      </c>
      <c r="R71" s="76">
        <f t="shared" si="8"/>
        <v>37.1</v>
      </c>
      <c r="S71" s="76">
        <f t="shared" si="8"/>
        <v>39</v>
      </c>
      <c r="T71" s="77">
        <f t="shared" si="8"/>
        <v>40.799999999999997</v>
      </c>
    </row>
    <row r="72" spans="1:20" s="6" customFormat="1" ht="31.5" customHeight="1" x14ac:dyDescent="0.25">
      <c r="I72" s="164" t="s">
        <v>20</v>
      </c>
      <c r="J72" s="165"/>
      <c r="K72" s="165"/>
      <c r="L72" s="165"/>
      <c r="M72" s="18"/>
      <c r="N72" s="46">
        <v>887</v>
      </c>
      <c r="O72" s="47" t="s">
        <v>57</v>
      </c>
      <c r="P72" s="58" t="s">
        <v>62</v>
      </c>
      <c r="Q72" s="10" t="s">
        <v>21</v>
      </c>
      <c r="R72" s="83">
        <f>11.3+25.8</f>
        <v>37.1</v>
      </c>
      <c r="S72" s="100">
        <f>11.8+27.2</f>
        <v>39</v>
      </c>
      <c r="T72" s="100">
        <f>12.4+28.4</f>
        <v>40.799999999999997</v>
      </c>
    </row>
    <row r="73" spans="1:20" s="6" customFormat="1" ht="33.75" customHeight="1" x14ac:dyDescent="0.25">
      <c r="I73" s="173" t="s">
        <v>63</v>
      </c>
      <c r="J73" s="174"/>
      <c r="K73" s="174"/>
      <c r="L73" s="174"/>
      <c r="M73" s="18"/>
      <c r="N73" s="44">
        <v>887</v>
      </c>
      <c r="O73" s="45" t="s">
        <v>64</v>
      </c>
      <c r="P73" s="57"/>
      <c r="Q73" s="9"/>
      <c r="R73" s="74">
        <f>R74+R77+R80+R86+R89+R92+R83+R95</f>
        <v>67.3</v>
      </c>
      <c r="S73" s="74">
        <f>S74+S77+S80+S86+S89+S92+S83+S95</f>
        <v>70.8</v>
      </c>
      <c r="T73" s="75">
        <f>T74+T77+T80+T86+T89+T92+T83+T95</f>
        <v>73.800000000000011</v>
      </c>
    </row>
    <row r="74" spans="1:20" s="6" customFormat="1" ht="64.5" customHeight="1" x14ac:dyDescent="0.25">
      <c r="I74" s="173" t="s">
        <v>174</v>
      </c>
      <c r="J74" s="174"/>
      <c r="K74" s="174"/>
      <c r="L74" s="174"/>
      <c r="M74" s="11"/>
      <c r="N74" s="44">
        <v>887</v>
      </c>
      <c r="O74" s="45" t="s">
        <v>64</v>
      </c>
      <c r="P74" s="59" t="s">
        <v>65</v>
      </c>
      <c r="Q74" s="14"/>
      <c r="R74" s="74">
        <f t="shared" ref="R74:T75" si="9">R75</f>
        <v>13.7</v>
      </c>
      <c r="S74" s="74">
        <f t="shared" si="9"/>
        <v>14.4</v>
      </c>
      <c r="T74" s="75">
        <f t="shared" si="9"/>
        <v>15.100000000000001</v>
      </c>
    </row>
    <row r="75" spans="1:20" s="6" customFormat="1" ht="29.25" customHeight="1" x14ac:dyDescent="0.25">
      <c r="I75" s="164" t="s">
        <v>17</v>
      </c>
      <c r="J75" s="165"/>
      <c r="K75" s="165"/>
      <c r="L75" s="165"/>
      <c r="M75" s="11"/>
      <c r="N75" s="46">
        <v>887</v>
      </c>
      <c r="O75" s="47" t="s">
        <v>64</v>
      </c>
      <c r="P75" s="60" t="s">
        <v>65</v>
      </c>
      <c r="Q75" s="15" t="s">
        <v>19</v>
      </c>
      <c r="R75" s="76">
        <f t="shared" si="9"/>
        <v>13.7</v>
      </c>
      <c r="S75" s="76">
        <f t="shared" si="9"/>
        <v>14.4</v>
      </c>
      <c r="T75" s="77">
        <f t="shared" si="9"/>
        <v>15.100000000000001</v>
      </c>
    </row>
    <row r="76" spans="1:20" s="6" customFormat="1" ht="33" customHeight="1" x14ac:dyDescent="0.25">
      <c r="I76" s="164" t="s">
        <v>20</v>
      </c>
      <c r="J76" s="165"/>
      <c r="K76" s="165"/>
      <c r="L76" s="165"/>
      <c r="M76" s="11"/>
      <c r="N76" s="46">
        <v>887</v>
      </c>
      <c r="O76" s="47" t="s">
        <v>64</v>
      </c>
      <c r="P76" s="60" t="s">
        <v>65</v>
      </c>
      <c r="Q76" s="15" t="s">
        <v>21</v>
      </c>
      <c r="R76" s="83">
        <f>5.6+8.1</f>
        <v>13.7</v>
      </c>
      <c r="S76" s="100">
        <f>5.9+8.5</f>
        <v>14.4</v>
      </c>
      <c r="T76" s="100">
        <f>6.2+8.9</f>
        <v>15.100000000000001</v>
      </c>
    </row>
    <row r="77" spans="1:20" s="6" customFormat="1" ht="60" customHeight="1" x14ac:dyDescent="0.25">
      <c r="I77" s="173" t="s">
        <v>175</v>
      </c>
      <c r="J77" s="174"/>
      <c r="K77" s="174"/>
      <c r="L77" s="174"/>
      <c r="M77" s="11"/>
      <c r="N77" s="44">
        <v>887</v>
      </c>
      <c r="O77" s="45" t="s">
        <v>64</v>
      </c>
      <c r="P77" s="59" t="s">
        <v>66</v>
      </c>
      <c r="Q77" s="14"/>
      <c r="R77" s="84">
        <f t="shared" ref="R77:T78" si="10">R78</f>
        <v>13.799999999999999</v>
      </c>
      <c r="S77" s="84">
        <f t="shared" si="10"/>
        <v>14.5</v>
      </c>
      <c r="T77" s="85">
        <f t="shared" si="10"/>
        <v>15.2</v>
      </c>
    </row>
    <row r="78" spans="1:20" s="6" customFormat="1" ht="29.25" customHeight="1" x14ac:dyDescent="0.25">
      <c r="I78" s="164" t="s">
        <v>17</v>
      </c>
      <c r="J78" s="165"/>
      <c r="K78" s="165"/>
      <c r="L78" s="165"/>
      <c r="M78" s="11"/>
      <c r="N78" s="46">
        <v>887</v>
      </c>
      <c r="O78" s="47" t="s">
        <v>64</v>
      </c>
      <c r="P78" s="60" t="s">
        <v>66</v>
      </c>
      <c r="Q78" s="15" t="s">
        <v>19</v>
      </c>
      <c r="R78" s="76">
        <f t="shared" si="10"/>
        <v>13.799999999999999</v>
      </c>
      <c r="S78" s="76">
        <f t="shared" si="10"/>
        <v>14.5</v>
      </c>
      <c r="T78" s="77">
        <f t="shared" si="10"/>
        <v>15.2</v>
      </c>
    </row>
    <row r="79" spans="1:20" s="6" customFormat="1" ht="31.5" customHeight="1" x14ac:dyDescent="0.25">
      <c r="I79" s="164" t="s">
        <v>20</v>
      </c>
      <c r="J79" s="165"/>
      <c r="K79" s="165"/>
      <c r="L79" s="165"/>
      <c r="M79" s="11"/>
      <c r="N79" s="46">
        <v>887</v>
      </c>
      <c r="O79" s="47" t="s">
        <v>64</v>
      </c>
      <c r="P79" s="60" t="s">
        <v>66</v>
      </c>
      <c r="Q79" s="15" t="s">
        <v>21</v>
      </c>
      <c r="R79" s="83">
        <f>5.6+8.2</f>
        <v>13.799999999999999</v>
      </c>
      <c r="S79" s="100">
        <f>5.9+8.6</f>
        <v>14.5</v>
      </c>
      <c r="T79" s="100">
        <f>6.2+9</f>
        <v>15.2</v>
      </c>
    </row>
    <row r="80" spans="1:20" s="17" customFormat="1" ht="80.25" customHeight="1" x14ac:dyDescent="0.25">
      <c r="I80" s="173" t="s">
        <v>181</v>
      </c>
      <c r="J80" s="174"/>
      <c r="K80" s="174"/>
      <c r="L80" s="174"/>
      <c r="M80" s="13"/>
      <c r="N80" s="44">
        <v>887</v>
      </c>
      <c r="O80" s="45" t="s">
        <v>64</v>
      </c>
      <c r="P80" s="59" t="s">
        <v>67</v>
      </c>
      <c r="Q80" s="14"/>
      <c r="R80" s="84">
        <f t="shared" ref="R80:T81" si="11">R81</f>
        <v>18.7</v>
      </c>
      <c r="S80" s="84">
        <f t="shared" si="11"/>
        <v>19.5</v>
      </c>
      <c r="T80" s="85">
        <f t="shared" si="11"/>
        <v>20.399999999999999</v>
      </c>
    </row>
    <row r="81" spans="9:23" s="17" customFormat="1" ht="25.5" customHeight="1" x14ac:dyDescent="0.25">
      <c r="I81" s="164" t="s">
        <v>17</v>
      </c>
      <c r="J81" s="165"/>
      <c r="K81" s="165"/>
      <c r="L81" s="165"/>
      <c r="M81" s="13"/>
      <c r="N81" s="46">
        <v>887</v>
      </c>
      <c r="O81" s="47" t="s">
        <v>64</v>
      </c>
      <c r="P81" s="60" t="s">
        <v>67</v>
      </c>
      <c r="Q81" s="15" t="s">
        <v>19</v>
      </c>
      <c r="R81" s="76">
        <f t="shared" si="11"/>
        <v>18.7</v>
      </c>
      <c r="S81" s="76">
        <f t="shared" si="11"/>
        <v>19.5</v>
      </c>
      <c r="T81" s="77">
        <f t="shared" si="11"/>
        <v>20.399999999999999</v>
      </c>
    </row>
    <row r="82" spans="9:23" s="17" customFormat="1" ht="24.75" customHeight="1" x14ac:dyDescent="0.25">
      <c r="I82" s="164" t="s">
        <v>20</v>
      </c>
      <c r="J82" s="165"/>
      <c r="K82" s="165"/>
      <c r="L82" s="165"/>
      <c r="M82" s="13"/>
      <c r="N82" s="46">
        <v>887</v>
      </c>
      <c r="O82" s="47" t="s">
        <v>64</v>
      </c>
      <c r="P82" s="60" t="s">
        <v>67</v>
      </c>
      <c r="Q82" s="15" t="s">
        <v>21</v>
      </c>
      <c r="R82" s="83">
        <f>9.5+9.2</f>
        <v>18.7</v>
      </c>
      <c r="S82" s="100">
        <f>9.9+9.6</f>
        <v>19.5</v>
      </c>
      <c r="T82" s="100">
        <f>10.4+10</f>
        <v>20.399999999999999</v>
      </c>
      <c r="U82" s="6"/>
      <c r="V82" s="6"/>
      <c r="W82" s="6"/>
    </row>
    <row r="83" spans="9:23" s="17" customFormat="1" ht="63" hidden="1" customHeight="1" x14ac:dyDescent="0.25">
      <c r="I83" s="208" t="s">
        <v>68</v>
      </c>
      <c r="J83" s="209"/>
      <c r="K83" s="209"/>
      <c r="L83" s="209"/>
      <c r="M83" s="13"/>
      <c r="N83" s="50">
        <v>887</v>
      </c>
      <c r="O83" s="51" t="s">
        <v>64</v>
      </c>
      <c r="P83" s="62" t="s">
        <v>69</v>
      </c>
      <c r="Q83" s="23"/>
      <c r="R83" s="38">
        <f>R84</f>
        <v>0</v>
      </c>
      <c r="S83" s="90"/>
      <c r="T83" s="90"/>
    </row>
    <row r="84" spans="9:23" s="17" customFormat="1" ht="25.5" hidden="1" customHeight="1" x14ac:dyDescent="0.25">
      <c r="I84" s="210" t="s">
        <v>17</v>
      </c>
      <c r="J84" s="211"/>
      <c r="K84" s="211"/>
      <c r="L84" s="211"/>
      <c r="M84" s="13"/>
      <c r="N84" s="52">
        <v>887</v>
      </c>
      <c r="O84" s="53" t="s">
        <v>64</v>
      </c>
      <c r="P84" s="63" t="s">
        <v>69</v>
      </c>
      <c r="Q84" s="24" t="s">
        <v>19</v>
      </c>
      <c r="R84" s="39">
        <f>R85</f>
        <v>0</v>
      </c>
      <c r="S84" s="90"/>
      <c r="T84" s="90"/>
    </row>
    <row r="85" spans="9:23" s="17" customFormat="1" ht="25.5" hidden="1" customHeight="1" x14ac:dyDescent="0.25">
      <c r="I85" s="210" t="s">
        <v>20</v>
      </c>
      <c r="J85" s="211"/>
      <c r="K85" s="211"/>
      <c r="L85" s="211"/>
      <c r="M85" s="13"/>
      <c r="N85" s="52">
        <v>887</v>
      </c>
      <c r="O85" s="53" t="s">
        <v>64</v>
      </c>
      <c r="P85" s="63" t="s">
        <v>69</v>
      </c>
      <c r="Q85" s="24" t="s">
        <v>21</v>
      </c>
      <c r="R85" s="39"/>
      <c r="S85" s="90"/>
      <c r="T85" s="90"/>
    </row>
    <row r="86" spans="9:23" s="6" customFormat="1" ht="92.25" customHeight="1" x14ac:dyDescent="0.25">
      <c r="I86" s="160" t="s">
        <v>194</v>
      </c>
      <c r="J86" s="161"/>
      <c r="K86" s="161"/>
      <c r="L86" s="161"/>
      <c r="M86" s="11"/>
      <c r="N86" s="44">
        <v>887</v>
      </c>
      <c r="O86" s="45" t="s">
        <v>64</v>
      </c>
      <c r="P86" s="59" t="s">
        <v>70</v>
      </c>
      <c r="Q86" s="14"/>
      <c r="R86" s="74">
        <f t="shared" ref="R86:T87" si="12">R87</f>
        <v>13.799999999999999</v>
      </c>
      <c r="S86" s="74">
        <f t="shared" si="12"/>
        <v>14.8</v>
      </c>
      <c r="T86" s="75">
        <f t="shared" si="12"/>
        <v>15.2</v>
      </c>
    </row>
    <row r="87" spans="9:23" s="6" customFormat="1" ht="29.25" customHeight="1" x14ac:dyDescent="0.25">
      <c r="I87" s="164" t="s">
        <v>17</v>
      </c>
      <c r="J87" s="165"/>
      <c r="K87" s="165"/>
      <c r="L87" s="165"/>
      <c r="M87" s="11"/>
      <c r="N87" s="46">
        <v>887</v>
      </c>
      <c r="O87" s="47" t="s">
        <v>64</v>
      </c>
      <c r="P87" s="60" t="s">
        <v>70</v>
      </c>
      <c r="Q87" s="15" t="s">
        <v>19</v>
      </c>
      <c r="R87" s="76">
        <f t="shared" si="12"/>
        <v>13.799999999999999</v>
      </c>
      <c r="S87" s="76">
        <f t="shared" si="12"/>
        <v>14.8</v>
      </c>
      <c r="T87" s="77">
        <f t="shared" si="12"/>
        <v>15.2</v>
      </c>
    </row>
    <row r="88" spans="9:23" s="6" customFormat="1" ht="30.75" customHeight="1" x14ac:dyDescent="0.25">
      <c r="I88" s="164" t="s">
        <v>20</v>
      </c>
      <c r="J88" s="165"/>
      <c r="K88" s="165"/>
      <c r="L88" s="165"/>
      <c r="M88" s="11"/>
      <c r="N88" s="46">
        <v>887</v>
      </c>
      <c r="O88" s="47" t="s">
        <v>64</v>
      </c>
      <c r="P88" s="60" t="s">
        <v>70</v>
      </c>
      <c r="Q88" s="15" t="s">
        <v>21</v>
      </c>
      <c r="R88" s="83">
        <f>5.6+8.2</f>
        <v>13.799999999999999</v>
      </c>
      <c r="S88" s="100">
        <f>5.9+8.9</f>
        <v>14.8</v>
      </c>
      <c r="T88" s="100">
        <f>6.2+9</f>
        <v>15.2</v>
      </c>
    </row>
    <row r="89" spans="9:23" s="6" customFormat="1" ht="75" hidden="1" customHeight="1" x14ac:dyDescent="0.25">
      <c r="I89" s="160" t="s">
        <v>176</v>
      </c>
      <c r="J89" s="161"/>
      <c r="K89" s="161"/>
      <c r="L89" s="161"/>
      <c r="M89" s="11"/>
      <c r="N89" s="44">
        <v>887</v>
      </c>
      <c r="O89" s="45" t="s">
        <v>64</v>
      </c>
      <c r="P89" s="59" t="s">
        <v>71</v>
      </c>
      <c r="Q89" s="14"/>
      <c r="R89" s="84">
        <f t="shared" ref="R89:T90" si="13">R90</f>
        <v>0</v>
      </c>
      <c r="S89" s="84">
        <f t="shared" si="13"/>
        <v>0</v>
      </c>
      <c r="T89" s="85">
        <f t="shared" si="13"/>
        <v>0</v>
      </c>
    </row>
    <row r="90" spans="9:23" s="6" customFormat="1" ht="26.25" hidden="1" customHeight="1" x14ac:dyDescent="0.25">
      <c r="I90" s="164" t="s">
        <v>17</v>
      </c>
      <c r="J90" s="165"/>
      <c r="K90" s="165"/>
      <c r="L90" s="165"/>
      <c r="M90" s="11"/>
      <c r="N90" s="46">
        <v>887</v>
      </c>
      <c r="O90" s="47" t="s">
        <v>64</v>
      </c>
      <c r="P90" s="60" t="s">
        <v>71</v>
      </c>
      <c r="Q90" s="15" t="s">
        <v>19</v>
      </c>
      <c r="R90" s="76">
        <f t="shared" si="13"/>
        <v>0</v>
      </c>
      <c r="S90" s="76">
        <f t="shared" si="13"/>
        <v>0</v>
      </c>
      <c r="T90" s="77">
        <f t="shared" si="13"/>
        <v>0</v>
      </c>
    </row>
    <row r="91" spans="9:23" s="6" customFormat="1" ht="26.25" hidden="1" customHeight="1" x14ac:dyDescent="0.25">
      <c r="I91" s="164" t="s">
        <v>20</v>
      </c>
      <c r="J91" s="165"/>
      <c r="K91" s="165"/>
      <c r="L91" s="165"/>
      <c r="M91" s="11"/>
      <c r="N91" s="46">
        <v>887</v>
      </c>
      <c r="O91" s="47" t="s">
        <v>64</v>
      </c>
      <c r="P91" s="60" t="s">
        <v>71</v>
      </c>
      <c r="Q91" s="15" t="s">
        <v>21</v>
      </c>
      <c r="R91" s="83">
        <v>0</v>
      </c>
      <c r="S91" s="100">
        <v>0</v>
      </c>
      <c r="T91" s="100">
        <v>0</v>
      </c>
    </row>
    <row r="92" spans="9:23" s="6" customFormat="1" ht="135" customHeight="1" x14ac:dyDescent="0.25">
      <c r="I92" s="160" t="s">
        <v>177</v>
      </c>
      <c r="J92" s="161"/>
      <c r="K92" s="161"/>
      <c r="L92" s="161"/>
      <c r="M92" s="11"/>
      <c r="N92" s="44">
        <v>887</v>
      </c>
      <c r="O92" s="45" t="s">
        <v>64</v>
      </c>
      <c r="P92" s="59" t="s">
        <v>72</v>
      </c>
      <c r="Q92" s="14"/>
      <c r="R92" s="84">
        <f t="shared" ref="R92:T93" si="14">R93</f>
        <v>7.3</v>
      </c>
      <c r="S92" s="84">
        <f t="shared" si="14"/>
        <v>7.6</v>
      </c>
      <c r="T92" s="85">
        <f t="shared" si="14"/>
        <v>7.9</v>
      </c>
    </row>
    <row r="93" spans="9:23" s="6" customFormat="1" ht="30" customHeight="1" x14ac:dyDescent="0.25">
      <c r="I93" s="164" t="s">
        <v>17</v>
      </c>
      <c r="J93" s="165"/>
      <c r="K93" s="165"/>
      <c r="L93" s="165"/>
      <c r="M93" s="11"/>
      <c r="N93" s="46">
        <v>887</v>
      </c>
      <c r="O93" s="47" t="s">
        <v>64</v>
      </c>
      <c r="P93" s="60" t="s">
        <v>72</v>
      </c>
      <c r="Q93" s="15" t="s">
        <v>19</v>
      </c>
      <c r="R93" s="76">
        <f t="shared" si="14"/>
        <v>7.3</v>
      </c>
      <c r="S93" s="76">
        <f t="shared" si="14"/>
        <v>7.6</v>
      </c>
      <c r="T93" s="77">
        <f t="shared" si="14"/>
        <v>7.9</v>
      </c>
    </row>
    <row r="94" spans="9:23" s="6" customFormat="1" ht="30" customHeight="1" x14ac:dyDescent="0.25">
      <c r="I94" s="164" t="s">
        <v>20</v>
      </c>
      <c r="J94" s="165"/>
      <c r="K94" s="165"/>
      <c r="L94" s="165"/>
      <c r="M94" s="11"/>
      <c r="N94" s="46">
        <v>887</v>
      </c>
      <c r="O94" s="47" t="s">
        <v>64</v>
      </c>
      <c r="P94" s="60" t="s">
        <v>72</v>
      </c>
      <c r="Q94" s="15" t="s">
        <v>21</v>
      </c>
      <c r="R94" s="83">
        <f>2.8+4.5</f>
        <v>7.3</v>
      </c>
      <c r="S94" s="100">
        <f>2.9+4.7</f>
        <v>7.6</v>
      </c>
      <c r="T94" s="100">
        <f>3.1+4.8</f>
        <v>7.9</v>
      </c>
    </row>
    <row r="95" spans="9:23" s="6" customFormat="1" ht="98.25" hidden="1" customHeight="1" x14ac:dyDescent="0.25">
      <c r="I95" s="208" t="s">
        <v>135</v>
      </c>
      <c r="J95" s="209"/>
      <c r="K95" s="209"/>
      <c r="L95" s="209"/>
      <c r="M95" s="11"/>
      <c r="N95" s="50">
        <v>887</v>
      </c>
      <c r="O95" s="51" t="s">
        <v>64</v>
      </c>
      <c r="P95" s="62" t="s">
        <v>73</v>
      </c>
      <c r="Q95" s="23"/>
      <c r="R95" s="38">
        <f>R96</f>
        <v>0</v>
      </c>
      <c r="S95" s="88"/>
      <c r="T95" s="88"/>
    </row>
    <row r="96" spans="9:23" s="6" customFormat="1" ht="34.5" hidden="1" customHeight="1" x14ac:dyDescent="0.25">
      <c r="I96" s="210" t="s">
        <v>17</v>
      </c>
      <c r="J96" s="211"/>
      <c r="K96" s="211"/>
      <c r="L96" s="211"/>
      <c r="M96" s="11"/>
      <c r="N96" s="52">
        <v>887</v>
      </c>
      <c r="O96" s="53" t="s">
        <v>64</v>
      </c>
      <c r="P96" s="63" t="s">
        <v>73</v>
      </c>
      <c r="Q96" s="24" t="s">
        <v>19</v>
      </c>
      <c r="R96" s="39">
        <f>R97</f>
        <v>0</v>
      </c>
      <c r="S96" s="88"/>
      <c r="T96" s="88"/>
    </row>
    <row r="97" spans="9:21" s="6" customFormat="1" ht="34.5" hidden="1" customHeight="1" x14ac:dyDescent="0.25">
      <c r="I97" s="210" t="s">
        <v>20</v>
      </c>
      <c r="J97" s="211"/>
      <c r="K97" s="211"/>
      <c r="L97" s="211"/>
      <c r="M97" s="11"/>
      <c r="N97" s="52">
        <v>887</v>
      </c>
      <c r="O97" s="53" t="s">
        <v>64</v>
      </c>
      <c r="P97" s="63" t="s">
        <v>73</v>
      </c>
      <c r="Q97" s="24" t="s">
        <v>21</v>
      </c>
      <c r="R97" s="39"/>
      <c r="S97" s="88"/>
      <c r="T97" s="88"/>
    </row>
    <row r="98" spans="9:21" s="6" customFormat="1" ht="27.75" customHeight="1" x14ac:dyDescent="0.25">
      <c r="I98" s="173" t="s">
        <v>74</v>
      </c>
      <c r="J98" s="174"/>
      <c r="K98" s="174"/>
      <c r="L98" s="174"/>
      <c r="M98" s="18"/>
      <c r="N98" s="44">
        <v>887</v>
      </c>
      <c r="O98" s="45" t="s">
        <v>75</v>
      </c>
      <c r="P98" s="57"/>
      <c r="Q98" s="14"/>
      <c r="R98" s="74">
        <f>R99+R103</f>
        <v>18178.600000000002</v>
      </c>
      <c r="S98" s="74">
        <f>S99+S103</f>
        <v>18996</v>
      </c>
      <c r="T98" s="75">
        <f>T99+T103</f>
        <v>19864.2</v>
      </c>
    </row>
    <row r="99" spans="9:21" s="17" customFormat="1" ht="22.5" customHeight="1" x14ac:dyDescent="0.25">
      <c r="I99" s="173" t="s">
        <v>76</v>
      </c>
      <c r="J99" s="174"/>
      <c r="K99" s="174"/>
      <c r="L99" s="174"/>
      <c r="M99" s="21"/>
      <c r="N99" s="44">
        <v>887</v>
      </c>
      <c r="O99" s="45" t="s">
        <v>77</v>
      </c>
      <c r="P99" s="57"/>
      <c r="Q99" s="14"/>
      <c r="R99" s="74">
        <f>R100</f>
        <v>115.7</v>
      </c>
      <c r="S99" s="74">
        <f t="shared" ref="S99:T101" si="15">S100</f>
        <v>121.3</v>
      </c>
      <c r="T99" s="75">
        <f t="shared" si="15"/>
        <v>126.9</v>
      </c>
    </row>
    <row r="100" spans="9:21" s="17" customFormat="1" ht="132" customHeight="1" x14ac:dyDescent="0.25">
      <c r="I100" s="173" t="s">
        <v>171</v>
      </c>
      <c r="J100" s="174"/>
      <c r="K100" s="174"/>
      <c r="L100" s="174"/>
      <c r="M100" s="174"/>
      <c r="N100" s="44">
        <v>887</v>
      </c>
      <c r="O100" s="45" t="s">
        <v>77</v>
      </c>
      <c r="P100" s="57" t="s">
        <v>78</v>
      </c>
      <c r="Q100" s="9"/>
      <c r="R100" s="74">
        <f>R101</f>
        <v>115.7</v>
      </c>
      <c r="S100" s="74">
        <f t="shared" si="15"/>
        <v>121.3</v>
      </c>
      <c r="T100" s="75">
        <f t="shared" si="15"/>
        <v>126.9</v>
      </c>
    </row>
    <row r="101" spans="9:21" s="6" customFormat="1" ht="28.5" customHeight="1" x14ac:dyDescent="0.25">
      <c r="I101" s="162" t="s">
        <v>17</v>
      </c>
      <c r="J101" s="163"/>
      <c r="K101" s="163"/>
      <c r="L101" s="163"/>
      <c r="M101" s="163"/>
      <c r="N101" s="46">
        <v>887</v>
      </c>
      <c r="O101" s="47" t="s">
        <v>77</v>
      </c>
      <c r="P101" s="58" t="s">
        <v>78</v>
      </c>
      <c r="Q101" s="10" t="s">
        <v>19</v>
      </c>
      <c r="R101" s="76">
        <f>R102</f>
        <v>115.7</v>
      </c>
      <c r="S101" s="76">
        <f t="shared" si="15"/>
        <v>121.3</v>
      </c>
      <c r="T101" s="77">
        <f t="shared" si="15"/>
        <v>126.9</v>
      </c>
    </row>
    <row r="102" spans="9:21" s="6" customFormat="1" ht="29.25" customHeight="1" x14ac:dyDescent="0.25">
      <c r="I102" s="206" t="s">
        <v>20</v>
      </c>
      <c r="J102" s="207"/>
      <c r="K102" s="207"/>
      <c r="L102" s="207"/>
      <c r="M102" s="25"/>
      <c r="N102" s="46">
        <v>887</v>
      </c>
      <c r="O102" s="47" t="s">
        <v>77</v>
      </c>
      <c r="P102" s="58" t="s">
        <v>78</v>
      </c>
      <c r="Q102" s="10" t="s">
        <v>21</v>
      </c>
      <c r="R102" s="76">
        <v>115.7</v>
      </c>
      <c r="S102" s="88">
        <v>121.3</v>
      </c>
      <c r="T102" s="88">
        <v>126.9</v>
      </c>
    </row>
    <row r="103" spans="9:21" s="6" customFormat="1" ht="34.5" customHeight="1" x14ac:dyDescent="0.25">
      <c r="I103" s="160" t="s">
        <v>79</v>
      </c>
      <c r="J103" s="161"/>
      <c r="K103" s="161"/>
      <c r="L103" s="161"/>
      <c r="M103" s="26"/>
      <c r="N103" s="44">
        <v>887</v>
      </c>
      <c r="O103" s="45" t="s">
        <v>80</v>
      </c>
      <c r="P103" s="57"/>
      <c r="Q103" s="14"/>
      <c r="R103" s="74">
        <f>R104</f>
        <v>18062.900000000001</v>
      </c>
      <c r="S103" s="74">
        <f t="shared" ref="S103:T106" si="16">S104</f>
        <v>18874.7</v>
      </c>
      <c r="T103" s="75">
        <f t="shared" si="16"/>
        <v>19737.3</v>
      </c>
    </row>
    <row r="104" spans="9:21" s="6" customFormat="1" ht="27" customHeight="1" x14ac:dyDescent="0.25">
      <c r="I104" s="160" t="s">
        <v>81</v>
      </c>
      <c r="J104" s="161"/>
      <c r="K104" s="161"/>
      <c r="L104" s="161"/>
      <c r="M104" s="26"/>
      <c r="N104" s="44">
        <v>887</v>
      </c>
      <c r="O104" s="45" t="s">
        <v>80</v>
      </c>
      <c r="P104" s="57" t="s">
        <v>82</v>
      </c>
      <c r="Q104" s="14"/>
      <c r="R104" s="74">
        <f>R105</f>
        <v>18062.900000000001</v>
      </c>
      <c r="S104" s="74">
        <f t="shared" si="16"/>
        <v>18874.7</v>
      </c>
      <c r="T104" s="75">
        <f t="shared" si="16"/>
        <v>19737.3</v>
      </c>
    </row>
    <row r="105" spans="9:21" s="6" customFormat="1" ht="82.5" customHeight="1" x14ac:dyDescent="0.25">
      <c r="I105" s="160" t="s">
        <v>83</v>
      </c>
      <c r="J105" s="161"/>
      <c r="K105" s="161"/>
      <c r="L105" s="161"/>
      <c r="M105" s="27"/>
      <c r="N105" s="46">
        <v>887</v>
      </c>
      <c r="O105" s="47" t="s">
        <v>80</v>
      </c>
      <c r="P105" s="58" t="s">
        <v>82</v>
      </c>
      <c r="Q105" s="10"/>
      <c r="R105" s="76">
        <f>R106</f>
        <v>18062.900000000001</v>
      </c>
      <c r="S105" s="76">
        <f t="shared" si="16"/>
        <v>18874.7</v>
      </c>
      <c r="T105" s="77">
        <f t="shared" si="16"/>
        <v>19737.3</v>
      </c>
    </row>
    <row r="106" spans="9:21" s="6" customFormat="1" ht="28.5" customHeight="1" x14ac:dyDescent="0.25">
      <c r="I106" s="164" t="s">
        <v>17</v>
      </c>
      <c r="J106" s="165"/>
      <c r="K106" s="165"/>
      <c r="L106" s="165"/>
      <c r="M106" s="21"/>
      <c r="N106" s="46">
        <v>887</v>
      </c>
      <c r="O106" s="47" t="s">
        <v>80</v>
      </c>
      <c r="P106" s="58" t="s">
        <v>82</v>
      </c>
      <c r="Q106" s="10" t="s">
        <v>19</v>
      </c>
      <c r="R106" s="83">
        <f>R107</f>
        <v>18062.900000000001</v>
      </c>
      <c r="S106" s="83">
        <f t="shared" si="16"/>
        <v>18874.7</v>
      </c>
      <c r="T106" s="86">
        <f t="shared" si="16"/>
        <v>19737.3</v>
      </c>
    </row>
    <row r="107" spans="9:21" s="6" customFormat="1" ht="30" customHeight="1" x14ac:dyDescent="0.25">
      <c r="I107" s="164" t="s">
        <v>20</v>
      </c>
      <c r="J107" s="165"/>
      <c r="K107" s="165"/>
      <c r="L107" s="165"/>
      <c r="M107" s="21"/>
      <c r="N107" s="46">
        <v>887</v>
      </c>
      <c r="O107" s="47" t="s">
        <v>80</v>
      </c>
      <c r="P107" s="58" t="s">
        <v>82</v>
      </c>
      <c r="Q107" s="10" t="s">
        <v>21</v>
      </c>
      <c r="R107" s="83">
        <f>17998.2+68.3-3.6</f>
        <v>18062.900000000001</v>
      </c>
      <c r="S107" s="88">
        <v>18874.7</v>
      </c>
      <c r="T107" s="88">
        <v>19737.3</v>
      </c>
      <c r="U107" s="6">
        <v>-3.6</v>
      </c>
    </row>
    <row r="108" spans="9:21" s="6" customFormat="1" ht="24" customHeight="1" x14ac:dyDescent="0.25">
      <c r="I108" s="173" t="s">
        <v>84</v>
      </c>
      <c r="J108" s="174"/>
      <c r="K108" s="174"/>
      <c r="L108" s="174"/>
      <c r="M108" s="18"/>
      <c r="N108" s="44">
        <v>887</v>
      </c>
      <c r="O108" s="45" t="s">
        <v>85</v>
      </c>
      <c r="P108" s="57"/>
      <c r="Q108" s="14"/>
      <c r="R108" s="84">
        <f>R109</f>
        <v>26452.100000000002</v>
      </c>
      <c r="S108" s="84">
        <f>S109</f>
        <v>26787.699999999997</v>
      </c>
      <c r="T108" s="85">
        <f>T109</f>
        <v>25184.6</v>
      </c>
    </row>
    <row r="109" spans="9:21" s="6" customFormat="1" ht="15.75" customHeight="1" x14ac:dyDescent="0.25">
      <c r="I109" s="173" t="s">
        <v>86</v>
      </c>
      <c r="J109" s="174"/>
      <c r="K109" s="174"/>
      <c r="L109" s="174"/>
      <c r="M109" s="174"/>
      <c r="N109" s="44">
        <v>887</v>
      </c>
      <c r="O109" s="45" t="s">
        <v>87</v>
      </c>
      <c r="P109" s="57"/>
      <c r="Q109" s="9"/>
      <c r="R109" s="84">
        <f>R110+R126+R139+R149+R136</f>
        <v>26452.100000000002</v>
      </c>
      <c r="S109" s="84">
        <f>S110+S126+S139+S149+S136</f>
        <v>26787.699999999997</v>
      </c>
      <c r="T109" s="85">
        <f>T110+T126+T139+T149+T136</f>
        <v>25184.6</v>
      </c>
    </row>
    <row r="110" spans="9:21" s="6" customFormat="1" ht="31.5" hidden="1" customHeight="1" x14ac:dyDescent="0.25">
      <c r="I110" s="173" t="s">
        <v>88</v>
      </c>
      <c r="J110" s="174"/>
      <c r="K110" s="174"/>
      <c r="L110" s="174"/>
      <c r="M110" s="21"/>
      <c r="N110" s="44">
        <v>887</v>
      </c>
      <c r="O110" s="45" t="s">
        <v>87</v>
      </c>
      <c r="P110" s="57" t="s">
        <v>89</v>
      </c>
      <c r="Q110" s="9"/>
      <c r="R110" s="84">
        <f>R114+R117+R111+R120+R123</f>
        <v>1330.1999999999998</v>
      </c>
      <c r="S110" s="84">
        <f>S114+S117+S111+S120+S123</f>
        <v>1748.7</v>
      </c>
      <c r="T110" s="85">
        <f>T114+T117+T111+T120+T123</f>
        <v>1824.3000000000002</v>
      </c>
    </row>
    <row r="111" spans="9:21" s="6" customFormat="1" ht="195" customHeight="1" x14ac:dyDescent="0.25">
      <c r="I111" s="173" t="s">
        <v>90</v>
      </c>
      <c r="J111" s="174"/>
      <c r="K111" s="174"/>
      <c r="L111" s="174"/>
      <c r="M111" s="18"/>
      <c r="N111" s="46">
        <v>887</v>
      </c>
      <c r="O111" s="47" t="s">
        <v>87</v>
      </c>
      <c r="P111" s="58" t="s">
        <v>91</v>
      </c>
      <c r="Q111" s="10"/>
      <c r="R111" s="83">
        <f t="shared" ref="R111:T112" si="17">R112</f>
        <v>1089.3</v>
      </c>
      <c r="S111" s="83">
        <f t="shared" si="17"/>
        <v>1048.7</v>
      </c>
      <c r="T111" s="86">
        <f t="shared" si="17"/>
        <v>1096.9000000000001</v>
      </c>
    </row>
    <row r="112" spans="9:21" s="17" customFormat="1" ht="27" customHeight="1" x14ac:dyDescent="0.25">
      <c r="I112" s="164" t="s">
        <v>17</v>
      </c>
      <c r="J112" s="165"/>
      <c r="K112" s="165"/>
      <c r="L112" s="165"/>
      <c r="M112" s="165"/>
      <c r="N112" s="46">
        <v>887</v>
      </c>
      <c r="O112" s="47" t="s">
        <v>87</v>
      </c>
      <c r="P112" s="58" t="s">
        <v>91</v>
      </c>
      <c r="Q112" s="10" t="s">
        <v>19</v>
      </c>
      <c r="R112" s="83">
        <f t="shared" si="17"/>
        <v>1089.3</v>
      </c>
      <c r="S112" s="83">
        <f t="shared" si="17"/>
        <v>1048.7</v>
      </c>
      <c r="T112" s="86">
        <f t="shared" si="17"/>
        <v>1096.9000000000001</v>
      </c>
    </row>
    <row r="113" spans="9:21" s="17" customFormat="1" ht="28.5" customHeight="1" x14ac:dyDescent="0.25">
      <c r="I113" s="164" t="s">
        <v>20</v>
      </c>
      <c r="J113" s="165"/>
      <c r="K113" s="165"/>
      <c r="L113" s="165"/>
      <c r="M113" s="11"/>
      <c r="N113" s="46">
        <v>887</v>
      </c>
      <c r="O113" s="47" t="s">
        <v>87</v>
      </c>
      <c r="P113" s="58" t="s">
        <v>91</v>
      </c>
      <c r="Q113" s="10" t="s">
        <v>21</v>
      </c>
      <c r="R113" s="83">
        <f>1140-50.7</f>
        <v>1089.3</v>
      </c>
      <c r="S113" s="100">
        <v>1048.7</v>
      </c>
      <c r="T113" s="88">
        <v>1096.9000000000001</v>
      </c>
      <c r="U113" s="6">
        <v>-50.7</v>
      </c>
    </row>
    <row r="114" spans="9:21" s="6" customFormat="1" ht="108.75" customHeight="1" x14ac:dyDescent="0.25">
      <c r="I114" s="173" t="s">
        <v>92</v>
      </c>
      <c r="J114" s="174"/>
      <c r="K114" s="174"/>
      <c r="L114" s="174"/>
      <c r="M114" s="18"/>
      <c r="N114" s="46">
        <v>887</v>
      </c>
      <c r="O114" s="47" t="s">
        <v>87</v>
      </c>
      <c r="P114" s="58" t="s">
        <v>93</v>
      </c>
      <c r="Q114" s="10"/>
      <c r="R114" s="83">
        <f t="shared" ref="R114:T115" si="18">R115</f>
        <v>240.89999999999998</v>
      </c>
      <c r="S114" s="83">
        <f t="shared" si="18"/>
        <v>700</v>
      </c>
      <c r="T114" s="86">
        <f t="shared" si="18"/>
        <v>727.4</v>
      </c>
    </row>
    <row r="115" spans="9:21" s="6" customFormat="1" ht="27" customHeight="1" x14ac:dyDescent="0.25">
      <c r="I115" s="164" t="s">
        <v>17</v>
      </c>
      <c r="J115" s="165"/>
      <c r="K115" s="165"/>
      <c r="L115" s="165"/>
      <c r="M115" s="165"/>
      <c r="N115" s="46">
        <v>887</v>
      </c>
      <c r="O115" s="47" t="s">
        <v>87</v>
      </c>
      <c r="P115" s="58" t="s">
        <v>93</v>
      </c>
      <c r="Q115" s="10" t="s">
        <v>19</v>
      </c>
      <c r="R115" s="83">
        <f t="shared" si="18"/>
        <v>240.89999999999998</v>
      </c>
      <c r="S115" s="83">
        <f t="shared" si="18"/>
        <v>700</v>
      </c>
      <c r="T115" s="86">
        <f t="shared" si="18"/>
        <v>727.4</v>
      </c>
    </row>
    <row r="116" spans="9:21" s="6" customFormat="1" ht="28.5" customHeight="1" x14ac:dyDescent="0.25">
      <c r="I116" s="164" t="s">
        <v>20</v>
      </c>
      <c r="J116" s="165"/>
      <c r="K116" s="165"/>
      <c r="L116" s="165"/>
      <c r="M116" s="11"/>
      <c r="N116" s="46">
        <v>887</v>
      </c>
      <c r="O116" s="47" t="s">
        <v>87</v>
      </c>
      <c r="P116" s="58" t="s">
        <v>93</v>
      </c>
      <c r="Q116" s="10" t="s">
        <v>21</v>
      </c>
      <c r="R116" s="83">
        <f>250+68.9-77.6-0.4</f>
        <v>240.89999999999998</v>
      </c>
      <c r="S116" s="100">
        <f>757.3-57.3</f>
        <v>700</v>
      </c>
      <c r="T116" s="100">
        <f>791.9-64.5</f>
        <v>727.4</v>
      </c>
      <c r="U116" s="6">
        <v>-0.4</v>
      </c>
    </row>
    <row r="117" spans="9:21" s="6" customFormat="1" ht="31.5" hidden="1" customHeight="1" x14ac:dyDescent="0.25">
      <c r="I117" s="204" t="s">
        <v>94</v>
      </c>
      <c r="J117" s="205"/>
      <c r="K117" s="205"/>
      <c r="L117" s="205"/>
      <c r="M117" s="205"/>
      <c r="N117" s="46">
        <v>887</v>
      </c>
      <c r="O117" s="47" t="s">
        <v>87</v>
      </c>
      <c r="P117" s="58" t="s">
        <v>95</v>
      </c>
      <c r="Q117" s="10"/>
      <c r="R117" s="83">
        <f>R118</f>
        <v>0</v>
      </c>
      <c r="S117" s="88"/>
      <c r="T117" s="88"/>
    </row>
    <row r="118" spans="9:21" s="6" customFormat="1" ht="26.25" hidden="1" customHeight="1" x14ac:dyDescent="0.25">
      <c r="I118" s="164" t="s">
        <v>17</v>
      </c>
      <c r="J118" s="165"/>
      <c r="K118" s="165"/>
      <c r="L118" s="165"/>
      <c r="M118" s="18"/>
      <c r="N118" s="46">
        <v>887</v>
      </c>
      <c r="O118" s="47" t="s">
        <v>87</v>
      </c>
      <c r="P118" s="58" t="s">
        <v>95</v>
      </c>
      <c r="Q118" s="10" t="s">
        <v>19</v>
      </c>
      <c r="R118" s="83">
        <f>R119</f>
        <v>0</v>
      </c>
      <c r="S118" s="88"/>
      <c r="T118" s="88"/>
    </row>
    <row r="119" spans="9:21" s="6" customFormat="1" ht="32.25" hidden="1" customHeight="1" x14ac:dyDescent="0.25">
      <c r="I119" s="164" t="s">
        <v>20</v>
      </c>
      <c r="J119" s="165"/>
      <c r="K119" s="165"/>
      <c r="L119" s="165"/>
      <c r="M119" s="18"/>
      <c r="N119" s="46">
        <v>887</v>
      </c>
      <c r="O119" s="47" t="s">
        <v>87</v>
      </c>
      <c r="P119" s="58" t="s">
        <v>95</v>
      </c>
      <c r="Q119" s="10" t="s">
        <v>21</v>
      </c>
      <c r="R119" s="83">
        <v>0</v>
      </c>
      <c r="S119" s="88"/>
      <c r="T119" s="88"/>
    </row>
    <row r="120" spans="9:21" s="6" customFormat="1" ht="15" hidden="1" customHeight="1" x14ac:dyDescent="0.25">
      <c r="I120" s="204" t="s">
        <v>96</v>
      </c>
      <c r="J120" s="205"/>
      <c r="K120" s="205"/>
      <c r="L120" s="205"/>
      <c r="M120" s="18"/>
      <c r="N120" s="44">
        <v>887</v>
      </c>
      <c r="O120" s="47" t="s">
        <v>87</v>
      </c>
      <c r="P120" s="58" t="s">
        <v>97</v>
      </c>
      <c r="Q120" s="10"/>
      <c r="R120" s="87">
        <f>R121</f>
        <v>0</v>
      </c>
      <c r="S120" s="88"/>
      <c r="T120" s="88"/>
    </row>
    <row r="121" spans="9:21" s="6" customFormat="1" ht="15" hidden="1" customHeight="1" x14ac:dyDescent="0.25">
      <c r="I121" s="164" t="s">
        <v>17</v>
      </c>
      <c r="J121" s="165"/>
      <c r="K121" s="165"/>
      <c r="L121" s="165"/>
      <c r="M121" s="165"/>
      <c r="N121" s="44">
        <v>887</v>
      </c>
      <c r="O121" s="47" t="s">
        <v>87</v>
      </c>
      <c r="P121" s="58" t="s">
        <v>97</v>
      </c>
      <c r="Q121" s="10" t="s">
        <v>19</v>
      </c>
      <c r="R121" s="87">
        <f>R122</f>
        <v>0</v>
      </c>
      <c r="S121" s="88"/>
      <c r="T121" s="88"/>
    </row>
    <row r="122" spans="9:21" s="6" customFormat="1" ht="15" hidden="1" customHeight="1" x14ac:dyDescent="0.25">
      <c r="I122" s="164" t="s">
        <v>20</v>
      </c>
      <c r="J122" s="165"/>
      <c r="K122" s="165"/>
      <c r="L122" s="165"/>
      <c r="M122" s="11"/>
      <c r="N122" s="44">
        <v>887</v>
      </c>
      <c r="O122" s="47" t="s">
        <v>87</v>
      </c>
      <c r="P122" s="58" t="s">
        <v>97</v>
      </c>
      <c r="Q122" s="10" t="s">
        <v>21</v>
      </c>
      <c r="R122" s="87">
        <v>0</v>
      </c>
      <c r="S122" s="88"/>
      <c r="T122" s="88"/>
    </row>
    <row r="123" spans="9:21" s="6" customFormat="1" ht="15" hidden="1" customHeight="1" x14ac:dyDescent="0.25">
      <c r="I123" s="204" t="s">
        <v>195</v>
      </c>
      <c r="J123" s="205"/>
      <c r="K123" s="205"/>
      <c r="L123" s="205"/>
      <c r="M123" s="18"/>
      <c r="N123" s="44">
        <v>887</v>
      </c>
      <c r="O123" s="47" t="s">
        <v>87</v>
      </c>
      <c r="P123" s="58" t="s">
        <v>98</v>
      </c>
      <c r="Q123" s="10"/>
      <c r="R123" s="87">
        <f>R124</f>
        <v>0</v>
      </c>
      <c r="S123" s="88"/>
      <c r="T123" s="88"/>
    </row>
    <row r="124" spans="9:21" s="6" customFormat="1" ht="15" hidden="1" customHeight="1" x14ac:dyDescent="0.25">
      <c r="I124" s="164" t="s">
        <v>17</v>
      </c>
      <c r="J124" s="165"/>
      <c r="K124" s="165"/>
      <c r="L124" s="165"/>
      <c r="M124" s="165"/>
      <c r="N124" s="44">
        <v>887</v>
      </c>
      <c r="O124" s="47" t="s">
        <v>87</v>
      </c>
      <c r="P124" s="58" t="s">
        <v>98</v>
      </c>
      <c r="Q124" s="10" t="s">
        <v>19</v>
      </c>
      <c r="R124" s="87">
        <f>R125</f>
        <v>0</v>
      </c>
      <c r="S124" s="88"/>
      <c r="T124" s="88"/>
    </row>
    <row r="125" spans="9:21" s="6" customFormat="1" ht="15" hidden="1" customHeight="1" x14ac:dyDescent="0.25">
      <c r="I125" s="164" t="s">
        <v>20</v>
      </c>
      <c r="J125" s="165"/>
      <c r="K125" s="165"/>
      <c r="L125" s="165"/>
      <c r="M125" s="11"/>
      <c r="N125" s="44">
        <v>887</v>
      </c>
      <c r="O125" s="47" t="s">
        <v>87</v>
      </c>
      <c r="P125" s="58" t="s">
        <v>98</v>
      </c>
      <c r="Q125" s="10" t="s">
        <v>21</v>
      </c>
      <c r="R125" s="87">
        <v>0</v>
      </c>
      <c r="S125" s="88"/>
      <c r="T125" s="88"/>
    </row>
    <row r="126" spans="9:21" s="17" customFormat="1" ht="43.5" hidden="1" customHeight="1" x14ac:dyDescent="0.25">
      <c r="I126" s="173" t="s">
        <v>99</v>
      </c>
      <c r="J126" s="174"/>
      <c r="K126" s="174"/>
      <c r="L126" s="174"/>
      <c r="M126" s="18"/>
      <c r="N126" s="44">
        <v>887</v>
      </c>
      <c r="O126" s="45" t="s">
        <v>87</v>
      </c>
      <c r="P126" s="57" t="s">
        <v>100</v>
      </c>
      <c r="Q126" s="9"/>
      <c r="R126" s="84">
        <f>R127+R130+R133</f>
        <v>1791.5</v>
      </c>
      <c r="S126" s="84">
        <f>S127+S130+S133</f>
        <v>0</v>
      </c>
      <c r="T126" s="85">
        <f>T127+T130+T133</f>
        <v>962</v>
      </c>
    </row>
    <row r="127" spans="9:21" s="17" customFormat="1" ht="57" hidden="1" customHeight="1" x14ac:dyDescent="0.25">
      <c r="I127" s="171" t="s">
        <v>104</v>
      </c>
      <c r="J127" s="172"/>
      <c r="K127" s="172"/>
      <c r="L127" s="172"/>
      <c r="M127" s="21"/>
      <c r="N127" s="46">
        <v>887</v>
      </c>
      <c r="O127" s="47" t="s">
        <v>87</v>
      </c>
      <c r="P127" s="58" t="s">
        <v>105</v>
      </c>
      <c r="Q127" s="10"/>
      <c r="R127" s="83">
        <f t="shared" ref="R127:T128" si="19">R128</f>
        <v>0</v>
      </c>
      <c r="S127" s="83">
        <f t="shared" si="19"/>
        <v>0</v>
      </c>
      <c r="T127" s="86">
        <f t="shared" si="19"/>
        <v>0</v>
      </c>
    </row>
    <row r="128" spans="9:21" s="6" customFormat="1" ht="27" hidden="1" customHeight="1" x14ac:dyDescent="0.25">
      <c r="I128" s="164" t="s">
        <v>17</v>
      </c>
      <c r="J128" s="165"/>
      <c r="K128" s="165"/>
      <c r="L128" s="165"/>
      <c r="M128" s="21"/>
      <c r="N128" s="46">
        <v>887</v>
      </c>
      <c r="O128" s="47" t="s">
        <v>87</v>
      </c>
      <c r="P128" s="58" t="s">
        <v>105</v>
      </c>
      <c r="Q128" s="20" t="s">
        <v>19</v>
      </c>
      <c r="R128" s="83">
        <f t="shared" si="19"/>
        <v>0</v>
      </c>
      <c r="S128" s="83">
        <f t="shared" si="19"/>
        <v>0</v>
      </c>
      <c r="T128" s="86">
        <f t="shared" si="19"/>
        <v>0</v>
      </c>
    </row>
    <row r="129" spans="9:21" s="6" customFormat="1" ht="27.75" hidden="1" customHeight="1" x14ac:dyDescent="0.25">
      <c r="I129" s="164" t="s">
        <v>20</v>
      </c>
      <c r="J129" s="165"/>
      <c r="K129" s="165"/>
      <c r="L129" s="165"/>
      <c r="M129" s="21"/>
      <c r="N129" s="46">
        <v>887</v>
      </c>
      <c r="O129" s="47" t="s">
        <v>87</v>
      </c>
      <c r="P129" s="58" t="s">
        <v>105</v>
      </c>
      <c r="Q129" s="20" t="s">
        <v>21</v>
      </c>
      <c r="R129" s="83">
        <v>0</v>
      </c>
      <c r="S129" s="88"/>
      <c r="T129" s="88"/>
    </row>
    <row r="130" spans="9:21" s="6" customFormat="1" ht="42" hidden="1" customHeight="1" x14ac:dyDescent="0.25">
      <c r="I130" s="198" t="s">
        <v>180</v>
      </c>
      <c r="J130" s="199"/>
      <c r="K130" s="199"/>
      <c r="L130" s="199"/>
      <c r="M130" s="200"/>
      <c r="N130" s="98" t="s">
        <v>87</v>
      </c>
      <c r="O130" s="98" t="s">
        <v>101</v>
      </c>
      <c r="P130" s="58" t="s">
        <v>101</v>
      </c>
      <c r="Q130" s="10"/>
      <c r="R130" s="83">
        <f t="shared" ref="R130:T131" si="20">R131</f>
        <v>0</v>
      </c>
      <c r="S130" s="83">
        <f t="shared" si="20"/>
        <v>0</v>
      </c>
      <c r="T130" s="86">
        <f t="shared" si="20"/>
        <v>0</v>
      </c>
    </row>
    <row r="131" spans="9:21" s="6" customFormat="1" ht="30" hidden="1" customHeight="1" x14ac:dyDescent="0.25">
      <c r="I131" s="201" t="s">
        <v>17</v>
      </c>
      <c r="J131" s="202"/>
      <c r="K131" s="202"/>
      <c r="L131" s="202"/>
      <c r="M131" s="203"/>
      <c r="N131" s="98" t="s">
        <v>87</v>
      </c>
      <c r="O131" s="98" t="s">
        <v>101</v>
      </c>
      <c r="P131" s="58" t="s">
        <v>101</v>
      </c>
      <c r="Q131" s="10" t="s">
        <v>19</v>
      </c>
      <c r="R131" s="83">
        <f t="shared" si="20"/>
        <v>0</v>
      </c>
      <c r="S131" s="83">
        <f t="shared" si="20"/>
        <v>0</v>
      </c>
      <c r="T131" s="86">
        <f t="shared" si="20"/>
        <v>0</v>
      </c>
    </row>
    <row r="132" spans="9:21" s="6" customFormat="1" ht="29.25" hidden="1" customHeight="1" x14ac:dyDescent="0.25">
      <c r="I132" s="201" t="s">
        <v>20</v>
      </c>
      <c r="J132" s="202"/>
      <c r="K132" s="202"/>
      <c r="L132" s="202"/>
      <c r="M132" s="203"/>
      <c r="N132" s="98" t="s">
        <v>87</v>
      </c>
      <c r="O132" s="98" t="s">
        <v>101</v>
      </c>
      <c r="P132" s="58" t="s">
        <v>101</v>
      </c>
      <c r="Q132" s="10" t="s">
        <v>21</v>
      </c>
      <c r="R132" s="83"/>
      <c r="S132" s="88"/>
      <c r="T132" s="88"/>
    </row>
    <row r="133" spans="9:21" s="6" customFormat="1" ht="48" customHeight="1" x14ac:dyDescent="0.25">
      <c r="I133" s="173" t="s">
        <v>102</v>
      </c>
      <c r="J133" s="174"/>
      <c r="K133" s="174"/>
      <c r="L133" s="174"/>
      <c r="M133" s="21"/>
      <c r="N133" s="46">
        <v>887</v>
      </c>
      <c r="O133" s="47" t="s">
        <v>87</v>
      </c>
      <c r="P133" s="58" t="s">
        <v>103</v>
      </c>
      <c r="Q133" s="10"/>
      <c r="R133" s="76">
        <f t="shared" ref="R133:T134" si="21">R134</f>
        <v>1791.5</v>
      </c>
      <c r="S133" s="76">
        <f t="shared" si="21"/>
        <v>0</v>
      </c>
      <c r="T133" s="77">
        <f t="shared" si="21"/>
        <v>962</v>
      </c>
    </row>
    <row r="134" spans="9:21" s="6" customFormat="1" ht="29.25" customHeight="1" x14ac:dyDescent="0.25">
      <c r="I134" s="164" t="s">
        <v>17</v>
      </c>
      <c r="J134" s="165"/>
      <c r="K134" s="165"/>
      <c r="L134" s="165"/>
      <c r="M134" s="21"/>
      <c r="N134" s="46">
        <v>887</v>
      </c>
      <c r="O134" s="47" t="s">
        <v>87</v>
      </c>
      <c r="P134" s="58" t="s">
        <v>103</v>
      </c>
      <c r="Q134" s="10" t="s">
        <v>19</v>
      </c>
      <c r="R134" s="76">
        <f t="shared" si="21"/>
        <v>1791.5</v>
      </c>
      <c r="S134" s="76">
        <f t="shared" si="21"/>
        <v>0</v>
      </c>
      <c r="T134" s="77">
        <f t="shared" si="21"/>
        <v>962</v>
      </c>
    </row>
    <row r="135" spans="9:21" s="6" customFormat="1" ht="30.75" customHeight="1" x14ac:dyDescent="0.25">
      <c r="I135" s="164" t="s">
        <v>20</v>
      </c>
      <c r="J135" s="165"/>
      <c r="K135" s="165"/>
      <c r="L135" s="165"/>
      <c r="M135" s="21"/>
      <c r="N135" s="46">
        <v>887</v>
      </c>
      <c r="O135" s="47" t="s">
        <v>87</v>
      </c>
      <c r="P135" s="58" t="s">
        <v>103</v>
      </c>
      <c r="Q135" s="10" t="s">
        <v>21</v>
      </c>
      <c r="R135" s="83">
        <f>2500-708.5</f>
        <v>1791.5</v>
      </c>
      <c r="S135" s="100">
        <f>600-600</f>
        <v>0</v>
      </c>
      <c r="T135" s="100">
        <f>1000-38</f>
        <v>962</v>
      </c>
    </row>
    <row r="136" spans="9:21" s="6" customFormat="1" ht="14.4" hidden="1" x14ac:dyDescent="0.25">
      <c r="I136" s="196" t="s">
        <v>196</v>
      </c>
      <c r="J136" s="197"/>
      <c r="K136" s="197"/>
      <c r="L136" s="197"/>
      <c r="M136" s="21"/>
      <c r="N136" s="44">
        <v>887</v>
      </c>
      <c r="O136" s="45" t="s">
        <v>87</v>
      </c>
      <c r="P136" s="57" t="s">
        <v>106</v>
      </c>
      <c r="Q136" s="9"/>
      <c r="R136" s="74">
        <f>R137</f>
        <v>0</v>
      </c>
      <c r="S136" s="88"/>
      <c r="T136" s="88"/>
    </row>
    <row r="137" spans="9:21" s="6" customFormat="1" ht="13.8" hidden="1" x14ac:dyDescent="0.25">
      <c r="I137" s="164" t="s">
        <v>17</v>
      </c>
      <c r="J137" s="165"/>
      <c r="K137" s="165"/>
      <c r="L137" s="165"/>
      <c r="M137" s="21"/>
      <c r="N137" s="46">
        <v>887</v>
      </c>
      <c r="O137" s="47" t="s">
        <v>87</v>
      </c>
      <c r="P137" s="58" t="s">
        <v>106</v>
      </c>
      <c r="Q137" s="10" t="s">
        <v>19</v>
      </c>
      <c r="R137" s="76">
        <f>R138</f>
        <v>0</v>
      </c>
      <c r="S137" s="88"/>
      <c r="T137" s="88"/>
    </row>
    <row r="138" spans="9:21" s="6" customFormat="1" ht="13.8" hidden="1" x14ac:dyDescent="0.25">
      <c r="I138" s="164" t="s">
        <v>20</v>
      </c>
      <c r="J138" s="165"/>
      <c r="K138" s="165"/>
      <c r="L138" s="165"/>
      <c r="M138" s="21"/>
      <c r="N138" s="46">
        <v>887</v>
      </c>
      <c r="O138" s="47" t="s">
        <v>87</v>
      </c>
      <c r="P138" s="58" t="s">
        <v>106</v>
      </c>
      <c r="Q138" s="10" t="s">
        <v>21</v>
      </c>
      <c r="R138" s="76">
        <v>0</v>
      </c>
      <c r="S138" s="88"/>
      <c r="T138" s="88"/>
    </row>
    <row r="139" spans="9:21" s="6" customFormat="1" ht="0.75" hidden="1" customHeight="1" x14ac:dyDescent="0.25">
      <c r="I139" s="173" t="s">
        <v>107</v>
      </c>
      <c r="J139" s="174"/>
      <c r="K139" s="174"/>
      <c r="L139" s="174"/>
      <c r="M139" s="21"/>
      <c r="N139" s="44">
        <v>887</v>
      </c>
      <c r="O139" s="45" t="s">
        <v>87</v>
      </c>
      <c r="P139" s="57" t="s">
        <v>108</v>
      </c>
      <c r="Q139" s="9"/>
      <c r="R139" s="74">
        <f>R140+R143+R146</f>
        <v>9784.7000000000007</v>
      </c>
      <c r="S139" s="74">
        <f>S140+S143+S146</f>
        <v>15723.699999999999</v>
      </c>
      <c r="T139" s="75">
        <f>T140+T143+T146</f>
        <v>16996.900000000001</v>
      </c>
    </row>
    <row r="140" spans="9:21" s="28" customFormat="1" ht="89.25" customHeight="1" x14ac:dyDescent="0.25">
      <c r="I140" s="173" t="s">
        <v>109</v>
      </c>
      <c r="J140" s="174"/>
      <c r="K140" s="174"/>
      <c r="L140" s="174"/>
      <c r="M140" s="11"/>
      <c r="N140" s="46">
        <v>887</v>
      </c>
      <c r="O140" s="47" t="s">
        <v>87</v>
      </c>
      <c r="P140" s="58" t="s">
        <v>110</v>
      </c>
      <c r="Q140" s="10"/>
      <c r="R140" s="76">
        <f t="shared" ref="R140:T141" si="22">R141</f>
        <v>8932</v>
      </c>
      <c r="S140" s="76">
        <f t="shared" si="22"/>
        <v>14755.1</v>
      </c>
      <c r="T140" s="77">
        <f t="shared" si="22"/>
        <v>15983.5</v>
      </c>
    </row>
    <row r="141" spans="9:21" s="6" customFormat="1" ht="27" customHeight="1" x14ac:dyDescent="0.25">
      <c r="I141" s="164" t="s">
        <v>17</v>
      </c>
      <c r="J141" s="165"/>
      <c r="K141" s="165"/>
      <c r="L141" s="165"/>
      <c r="M141" s="11"/>
      <c r="N141" s="46">
        <v>887</v>
      </c>
      <c r="O141" s="47" t="s">
        <v>87</v>
      </c>
      <c r="P141" s="58" t="s">
        <v>110</v>
      </c>
      <c r="Q141" s="10" t="s">
        <v>19</v>
      </c>
      <c r="R141" s="76">
        <f t="shared" si="22"/>
        <v>8932</v>
      </c>
      <c r="S141" s="76">
        <f t="shared" si="22"/>
        <v>14755.1</v>
      </c>
      <c r="T141" s="77">
        <f t="shared" si="22"/>
        <v>15983.5</v>
      </c>
    </row>
    <row r="142" spans="9:21" s="6" customFormat="1" ht="28.5" customHeight="1" x14ac:dyDescent="0.25">
      <c r="I142" s="164" t="s">
        <v>20</v>
      </c>
      <c r="J142" s="165"/>
      <c r="K142" s="165"/>
      <c r="L142" s="165"/>
      <c r="M142" s="11"/>
      <c r="N142" s="46">
        <v>887</v>
      </c>
      <c r="O142" s="47" t="s">
        <v>87</v>
      </c>
      <c r="P142" s="58" t="s">
        <v>110</v>
      </c>
      <c r="Q142" s="10" t="s">
        <v>21</v>
      </c>
      <c r="R142" s="83">
        <f>9166.3-242.3+8</f>
        <v>8932</v>
      </c>
      <c r="S142" s="88">
        <v>14755.1</v>
      </c>
      <c r="T142" s="88">
        <v>15983.5</v>
      </c>
      <c r="U142" s="6">
        <v>8</v>
      </c>
    </row>
    <row r="143" spans="9:21" s="6" customFormat="1" ht="115.5" customHeight="1" x14ac:dyDescent="0.25">
      <c r="I143" s="173" t="s">
        <v>191</v>
      </c>
      <c r="J143" s="174"/>
      <c r="K143" s="174"/>
      <c r="L143" s="174"/>
      <c r="M143" s="11"/>
      <c r="N143" s="46">
        <v>887</v>
      </c>
      <c r="O143" s="47" t="s">
        <v>87</v>
      </c>
      <c r="P143" s="58" t="s">
        <v>111</v>
      </c>
      <c r="Q143" s="10"/>
      <c r="R143" s="83">
        <f t="shared" ref="R143:T144" si="23">R144</f>
        <v>549.70000000000005</v>
      </c>
      <c r="S143" s="76">
        <f t="shared" si="23"/>
        <v>838.8</v>
      </c>
      <c r="T143" s="77">
        <f t="shared" si="23"/>
        <v>877.2</v>
      </c>
    </row>
    <row r="144" spans="9:21" s="17" customFormat="1" ht="31.5" customHeight="1" x14ac:dyDescent="0.25">
      <c r="I144" s="164" t="s">
        <v>17</v>
      </c>
      <c r="J144" s="165"/>
      <c r="K144" s="165"/>
      <c r="L144" s="165"/>
      <c r="M144" s="11"/>
      <c r="N144" s="46">
        <v>887</v>
      </c>
      <c r="O144" s="47" t="s">
        <v>87</v>
      </c>
      <c r="P144" s="58" t="s">
        <v>111</v>
      </c>
      <c r="Q144" s="10" t="s">
        <v>19</v>
      </c>
      <c r="R144" s="83">
        <f t="shared" si="23"/>
        <v>549.70000000000005</v>
      </c>
      <c r="S144" s="76">
        <f t="shared" si="23"/>
        <v>838.8</v>
      </c>
      <c r="T144" s="77">
        <f t="shared" si="23"/>
        <v>877.2</v>
      </c>
    </row>
    <row r="145" spans="9:21" s="6" customFormat="1" ht="33" customHeight="1" x14ac:dyDescent="0.25">
      <c r="I145" s="164" t="s">
        <v>20</v>
      </c>
      <c r="J145" s="165"/>
      <c r="K145" s="165"/>
      <c r="L145" s="165"/>
      <c r="M145" s="11"/>
      <c r="N145" s="46">
        <v>887</v>
      </c>
      <c r="O145" s="47" t="s">
        <v>87</v>
      </c>
      <c r="P145" s="58" t="s">
        <v>111</v>
      </c>
      <c r="Q145" s="10" t="s">
        <v>21</v>
      </c>
      <c r="R145" s="83">
        <f>800-600+343.7+6</f>
        <v>549.70000000000005</v>
      </c>
      <c r="S145" s="88">
        <v>838.8</v>
      </c>
      <c r="T145" s="88">
        <v>877.2</v>
      </c>
      <c r="U145" s="6">
        <v>6</v>
      </c>
    </row>
    <row r="146" spans="9:21" s="6" customFormat="1" ht="133.5" customHeight="1" x14ac:dyDescent="0.25">
      <c r="I146" s="191" t="s">
        <v>112</v>
      </c>
      <c r="J146" s="192"/>
      <c r="K146" s="192"/>
      <c r="L146" s="192"/>
      <c r="M146" s="36"/>
      <c r="N146" s="129">
        <v>887</v>
      </c>
      <c r="O146" s="130" t="s">
        <v>87</v>
      </c>
      <c r="P146" s="115" t="s">
        <v>113</v>
      </c>
      <c r="Q146" s="116"/>
      <c r="R146" s="83">
        <f t="shared" ref="R146:T147" si="24">R147</f>
        <v>303</v>
      </c>
      <c r="S146" s="83">
        <f t="shared" si="24"/>
        <v>129.80000000000001</v>
      </c>
      <c r="T146" s="86">
        <f t="shared" si="24"/>
        <v>136.19999999999999</v>
      </c>
    </row>
    <row r="147" spans="9:21" s="6" customFormat="1" ht="27.75" customHeight="1" x14ac:dyDescent="0.25">
      <c r="I147" s="164" t="s">
        <v>17</v>
      </c>
      <c r="J147" s="165"/>
      <c r="K147" s="165"/>
      <c r="L147" s="165"/>
      <c r="M147" s="11"/>
      <c r="N147" s="46">
        <v>887</v>
      </c>
      <c r="O147" s="47" t="s">
        <v>87</v>
      </c>
      <c r="P147" s="58" t="s">
        <v>113</v>
      </c>
      <c r="Q147" s="10" t="s">
        <v>19</v>
      </c>
      <c r="R147" s="83">
        <f t="shared" si="24"/>
        <v>303</v>
      </c>
      <c r="S147" s="83">
        <f t="shared" si="24"/>
        <v>129.80000000000001</v>
      </c>
      <c r="T147" s="86">
        <f t="shared" si="24"/>
        <v>136.19999999999999</v>
      </c>
    </row>
    <row r="148" spans="9:21" s="6" customFormat="1" ht="27.75" customHeight="1" x14ac:dyDescent="0.25">
      <c r="I148" s="164" t="s">
        <v>20</v>
      </c>
      <c r="J148" s="165"/>
      <c r="K148" s="165"/>
      <c r="L148" s="165"/>
      <c r="M148" s="11"/>
      <c r="N148" s="46">
        <v>887</v>
      </c>
      <c r="O148" s="47" t="s">
        <v>87</v>
      </c>
      <c r="P148" s="58" t="s">
        <v>113</v>
      </c>
      <c r="Q148" s="10" t="s">
        <v>21</v>
      </c>
      <c r="R148" s="83">
        <v>303</v>
      </c>
      <c r="S148" s="88">
        <v>129.80000000000001</v>
      </c>
      <c r="T148" s="88">
        <v>136.19999999999999</v>
      </c>
    </row>
    <row r="149" spans="9:21" s="17" customFormat="1" ht="27" hidden="1" customHeight="1" x14ac:dyDescent="0.25">
      <c r="I149" s="173" t="s">
        <v>114</v>
      </c>
      <c r="J149" s="174"/>
      <c r="K149" s="174"/>
      <c r="L149" s="174"/>
      <c r="M149" s="11"/>
      <c r="N149" s="44">
        <v>887</v>
      </c>
      <c r="O149" s="45" t="s">
        <v>87</v>
      </c>
      <c r="P149" s="57" t="s">
        <v>115</v>
      </c>
      <c r="Q149" s="9"/>
      <c r="R149" s="74">
        <f>R150+R153+R158+R161</f>
        <v>13545.7</v>
      </c>
      <c r="S149" s="74">
        <f>S150+S153+S158+S161</f>
        <v>9315.2999999999993</v>
      </c>
      <c r="T149" s="75">
        <f>T150+T153+T158+T161</f>
        <v>5401.4</v>
      </c>
    </row>
    <row r="150" spans="9:21" s="6" customFormat="1" ht="0.75" hidden="1" customHeight="1" x14ac:dyDescent="0.25">
      <c r="I150" s="167" t="s">
        <v>116</v>
      </c>
      <c r="J150" s="168"/>
      <c r="K150" s="168"/>
      <c r="L150" s="168"/>
      <c r="M150" s="11"/>
      <c r="N150" s="46">
        <v>887</v>
      </c>
      <c r="O150" s="47" t="s">
        <v>87</v>
      </c>
      <c r="P150" s="58" t="s">
        <v>117</v>
      </c>
      <c r="Q150" s="10"/>
      <c r="R150" s="76">
        <f t="shared" ref="R150:T151" si="25">R151</f>
        <v>0</v>
      </c>
      <c r="S150" s="76">
        <f t="shared" si="25"/>
        <v>0</v>
      </c>
      <c r="T150" s="77">
        <f t="shared" si="25"/>
        <v>0</v>
      </c>
    </row>
    <row r="151" spans="9:21" s="28" customFormat="1" ht="30" hidden="1" customHeight="1" x14ac:dyDescent="0.25">
      <c r="I151" s="164" t="s">
        <v>17</v>
      </c>
      <c r="J151" s="165"/>
      <c r="K151" s="165"/>
      <c r="L151" s="165"/>
      <c r="M151" s="11"/>
      <c r="N151" s="46">
        <v>887</v>
      </c>
      <c r="O151" s="47" t="s">
        <v>87</v>
      </c>
      <c r="P151" s="58" t="s">
        <v>117</v>
      </c>
      <c r="Q151" s="10" t="s">
        <v>19</v>
      </c>
      <c r="R151" s="76">
        <f t="shared" si="25"/>
        <v>0</v>
      </c>
      <c r="S151" s="76">
        <f t="shared" si="25"/>
        <v>0</v>
      </c>
      <c r="T151" s="77">
        <f t="shared" si="25"/>
        <v>0</v>
      </c>
    </row>
    <row r="152" spans="9:21" s="28" customFormat="1" ht="15" hidden="1" customHeight="1" x14ac:dyDescent="0.25">
      <c r="I152" s="164" t="s">
        <v>20</v>
      </c>
      <c r="J152" s="165"/>
      <c r="K152" s="165"/>
      <c r="L152" s="165"/>
      <c r="M152" s="11"/>
      <c r="N152" s="46">
        <v>887</v>
      </c>
      <c r="O152" s="47" t="s">
        <v>87</v>
      </c>
      <c r="P152" s="58" t="s">
        <v>117</v>
      </c>
      <c r="Q152" s="10" t="s">
        <v>21</v>
      </c>
      <c r="R152" s="76">
        <f>63.1-63.1</f>
        <v>0</v>
      </c>
      <c r="S152" s="76">
        <f>63.1-63.1</f>
        <v>0</v>
      </c>
      <c r="T152" s="77">
        <f>63.1-63.1</f>
        <v>0</v>
      </c>
    </row>
    <row r="153" spans="9:21" s="28" customFormat="1" ht="78.75" customHeight="1" x14ac:dyDescent="0.25">
      <c r="I153" s="173" t="s">
        <v>116</v>
      </c>
      <c r="J153" s="174"/>
      <c r="K153" s="174"/>
      <c r="L153" s="174"/>
      <c r="M153" s="11"/>
      <c r="N153" s="46">
        <v>887</v>
      </c>
      <c r="O153" s="47" t="s">
        <v>87</v>
      </c>
      <c r="P153" s="58" t="s">
        <v>118</v>
      </c>
      <c r="Q153" s="10"/>
      <c r="R153" s="76">
        <f>R154+R156</f>
        <v>6614.1000000000013</v>
      </c>
      <c r="S153" s="76">
        <f t="shared" ref="R153:T154" si="26">S154</f>
        <v>439</v>
      </c>
      <c r="T153" s="77">
        <f t="shared" si="26"/>
        <v>459.1</v>
      </c>
    </row>
    <row r="154" spans="9:21" s="28" customFormat="1" ht="27" customHeight="1" x14ac:dyDescent="0.25">
      <c r="I154" s="164" t="s">
        <v>17</v>
      </c>
      <c r="J154" s="165"/>
      <c r="K154" s="165"/>
      <c r="L154" s="165"/>
      <c r="M154" s="165"/>
      <c r="N154" s="46">
        <v>887</v>
      </c>
      <c r="O154" s="47" t="s">
        <v>87</v>
      </c>
      <c r="P154" s="58" t="s">
        <v>118</v>
      </c>
      <c r="Q154" s="10" t="s">
        <v>19</v>
      </c>
      <c r="R154" s="76">
        <f t="shared" si="26"/>
        <v>6605.1000000000013</v>
      </c>
      <c r="S154" s="76">
        <f t="shared" si="26"/>
        <v>439</v>
      </c>
      <c r="T154" s="77">
        <f t="shared" si="26"/>
        <v>459.1</v>
      </c>
    </row>
    <row r="155" spans="9:21" s="28" customFormat="1" ht="25.5" customHeight="1" x14ac:dyDescent="0.25">
      <c r="I155" s="164" t="s">
        <v>20</v>
      </c>
      <c r="J155" s="165"/>
      <c r="K155" s="165"/>
      <c r="L155" s="165"/>
      <c r="M155" s="11"/>
      <c r="N155" s="46">
        <v>887</v>
      </c>
      <c r="O155" s="47" t="s">
        <v>87</v>
      </c>
      <c r="P155" s="58" t="s">
        <v>118</v>
      </c>
      <c r="Q155" s="10" t="s">
        <v>21</v>
      </c>
      <c r="R155" s="91">
        <f>7298.6+929.2+76.2-1370.1-9-319.8</f>
        <v>6605.1000000000013</v>
      </c>
      <c r="S155" s="118">
        <f>439</f>
        <v>439</v>
      </c>
      <c r="T155" s="118">
        <v>459.1</v>
      </c>
      <c r="U155" s="28">
        <v>-319.8</v>
      </c>
    </row>
    <row r="156" spans="9:21" s="28" customFormat="1" ht="25.5" customHeight="1" x14ac:dyDescent="0.25">
      <c r="I156" s="193" t="s">
        <v>33</v>
      </c>
      <c r="J156" s="194"/>
      <c r="K156" s="194"/>
      <c r="L156" s="194"/>
      <c r="M156" s="195"/>
      <c r="N156" s="46">
        <v>887</v>
      </c>
      <c r="O156" s="47" t="s">
        <v>87</v>
      </c>
      <c r="P156" s="58" t="s">
        <v>118</v>
      </c>
      <c r="Q156" s="111" t="s">
        <v>34</v>
      </c>
      <c r="R156" s="88">
        <f>R157</f>
        <v>9</v>
      </c>
      <c r="S156" s="100"/>
      <c r="T156" s="100"/>
    </row>
    <row r="157" spans="9:21" s="28" customFormat="1" ht="25.5" customHeight="1" x14ac:dyDescent="0.25">
      <c r="I157" s="193" t="s">
        <v>27</v>
      </c>
      <c r="J157" s="194"/>
      <c r="K157" s="194"/>
      <c r="L157" s="194"/>
      <c r="M157" s="195"/>
      <c r="N157" s="46">
        <v>887</v>
      </c>
      <c r="O157" s="47" t="s">
        <v>87</v>
      </c>
      <c r="P157" s="58" t="s">
        <v>118</v>
      </c>
      <c r="Q157" s="111" t="s">
        <v>28</v>
      </c>
      <c r="R157" s="88">
        <v>9</v>
      </c>
      <c r="S157" s="100"/>
      <c r="T157" s="100"/>
    </row>
    <row r="158" spans="9:21" s="17" customFormat="1" ht="103.5" customHeight="1" x14ac:dyDescent="0.25">
      <c r="I158" s="173" t="s">
        <v>119</v>
      </c>
      <c r="J158" s="174"/>
      <c r="K158" s="174"/>
      <c r="L158" s="174"/>
      <c r="M158" s="174"/>
      <c r="N158" s="46">
        <v>887</v>
      </c>
      <c r="O158" s="47" t="s">
        <v>87</v>
      </c>
      <c r="P158" s="58" t="s">
        <v>120</v>
      </c>
      <c r="Q158" s="10"/>
      <c r="R158" s="93">
        <f t="shared" ref="R158:T159" si="27">R159</f>
        <v>5402.4999999999991</v>
      </c>
      <c r="S158" s="93">
        <f t="shared" si="27"/>
        <v>3670.4</v>
      </c>
      <c r="T158" s="94">
        <f t="shared" si="27"/>
        <v>3838.1</v>
      </c>
    </row>
    <row r="159" spans="9:21" s="17" customFormat="1" ht="27" customHeight="1" x14ac:dyDescent="0.25">
      <c r="I159" s="164" t="s">
        <v>17</v>
      </c>
      <c r="J159" s="165"/>
      <c r="K159" s="165"/>
      <c r="L159" s="165"/>
      <c r="M159" s="11"/>
      <c r="N159" s="46">
        <v>887</v>
      </c>
      <c r="O159" s="47" t="s">
        <v>87</v>
      </c>
      <c r="P159" s="58" t="s">
        <v>120</v>
      </c>
      <c r="Q159" s="10" t="s">
        <v>19</v>
      </c>
      <c r="R159" s="76">
        <f t="shared" si="27"/>
        <v>5402.4999999999991</v>
      </c>
      <c r="S159" s="76">
        <f t="shared" si="27"/>
        <v>3670.4</v>
      </c>
      <c r="T159" s="77">
        <f t="shared" si="27"/>
        <v>3838.1</v>
      </c>
    </row>
    <row r="160" spans="9:21" s="17" customFormat="1" ht="29.25" customHeight="1" x14ac:dyDescent="0.25">
      <c r="I160" s="164" t="s">
        <v>20</v>
      </c>
      <c r="J160" s="165"/>
      <c r="K160" s="165"/>
      <c r="L160" s="165"/>
      <c r="M160" s="11"/>
      <c r="N160" s="46">
        <v>887</v>
      </c>
      <c r="O160" s="47" t="s">
        <v>87</v>
      </c>
      <c r="P160" s="58" t="s">
        <v>120</v>
      </c>
      <c r="Q160" s="10" t="s">
        <v>21</v>
      </c>
      <c r="R160" s="83">
        <f>3500+1533.4+300.5+0.9+67.7</f>
        <v>5402.4999999999991</v>
      </c>
      <c r="S160" s="88">
        <v>3670.4</v>
      </c>
      <c r="T160" s="88">
        <v>3838.1</v>
      </c>
      <c r="U160" s="6">
        <v>369.1</v>
      </c>
    </row>
    <row r="161" spans="9:21" s="17" customFormat="1" ht="64.5" customHeight="1" x14ac:dyDescent="0.25">
      <c r="I161" s="191" t="s">
        <v>178</v>
      </c>
      <c r="J161" s="192"/>
      <c r="K161" s="192"/>
      <c r="L161" s="192"/>
      <c r="M161" s="192"/>
      <c r="N161" s="129">
        <v>887</v>
      </c>
      <c r="O161" s="130" t="s">
        <v>87</v>
      </c>
      <c r="P161" s="115" t="s">
        <v>173</v>
      </c>
      <c r="Q161" s="116"/>
      <c r="R161" s="87">
        <f t="shared" ref="R161:T162" si="28">R162</f>
        <v>1529.1</v>
      </c>
      <c r="S161" s="87">
        <f t="shared" si="28"/>
        <v>5205.8999999999996</v>
      </c>
      <c r="T161" s="99">
        <f t="shared" si="28"/>
        <v>1104.2</v>
      </c>
    </row>
    <row r="162" spans="9:21" s="17" customFormat="1" ht="30.75" customHeight="1" x14ac:dyDescent="0.25">
      <c r="I162" s="164" t="s">
        <v>17</v>
      </c>
      <c r="J162" s="165"/>
      <c r="K162" s="165"/>
      <c r="L162" s="165"/>
      <c r="M162" s="11"/>
      <c r="N162" s="46">
        <v>887</v>
      </c>
      <c r="O162" s="47" t="s">
        <v>87</v>
      </c>
      <c r="P162" s="58" t="s">
        <v>173</v>
      </c>
      <c r="Q162" s="10" t="s">
        <v>19</v>
      </c>
      <c r="R162" s="87">
        <f t="shared" si="28"/>
        <v>1529.1</v>
      </c>
      <c r="S162" s="87">
        <f t="shared" si="28"/>
        <v>5205.8999999999996</v>
      </c>
      <c r="T162" s="99">
        <f t="shared" si="28"/>
        <v>1104.2</v>
      </c>
    </row>
    <row r="163" spans="9:21" s="17" customFormat="1" ht="31.5" customHeight="1" x14ac:dyDescent="0.25">
      <c r="I163" s="164" t="s">
        <v>20</v>
      </c>
      <c r="J163" s="165"/>
      <c r="K163" s="165"/>
      <c r="L163" s="165"/>
      <c r="M163" s="11"/>
      <c r="N163" s="46">
        <v>887</v>
      </c>
      <c r="O163" s="47" t="s">
        <v>87</v>
      </c>
      <c r="P163" s="58" t="s">
        <v>173</v>
      </c>
      <c r="Q163" s="10" t="s">
        <v>21</v>
      </c>
      <c r="R163" s="87">
        <f>1504+400-374.9</f>
        <v>1529.1</v>
      </c>
      <c r="S163" s="100">
        <f>1055.9+4150</f>
        <v>5205.8999999999996</v>
      </c>
      <c r="T163" s="100">
        <v>1104.2</v>
      </c>
      <c r="U163" s="6"/>
    </row>
    <row r="164" spans="9:21" s="6" customFormat="1" ht="33.75" customHeight="1" x14ac:dyDescent="0.25">
      <c r="I164" s="169" t="s">
        <v>121</v>
      </c>
      <c r="J164" s="170"/>
      <c r="K164" s="170"/>
      <c r="L164" s="170"/>
      <c r="M164" s="18"/>
      <c r="N164" s="44">
        <v>887</v>
      </c>
      <c r="O164" s="45" t="s">
        <v>122</v>
      </c>
      <c r="P164" s="57"/>
      <c r="Q164" s="9"/>
      <c r="R164" s="74">
        <f>R165+R169+R177</f>
        <v>5588.1000000000013</v>
      </c>
      <c r="S164" s="74">
        <f>S165+S169+S177</f>
        <v>5861.1</v>
      </c>
      <c r="T164" s="75">
        <f>T165+T169+T177</f>
        <v>6129.0000000000009</v>
      </c>
    </row>
    <row r="165" spans="9:21" s="6" customFormat="1" ht="35.25" customHeight="1" x14ac:dyDescent="0.25">
      <c r="I165" s="173" t="s">
        <v>123</v>
      </c>
      <c r="J165" s="174"/>
      <c r="K165" s="174"/>
      <c r="L165" s="174"/>
      <c r="M165" s="174"/>
      <c r="N165" s="44">
        <v>887</v>
      </c>
      <c r="O165" s="45" t="s">
        <v>124</v>
      </c>
      <c r="P165" s="57"/>
      <c r="Q165" s="9"/>
      <c r="R165" s="74">
        <f>R167</f>
        <v>113.1</v>
      </c>
      <c r="S165" s="74">
        <f>S167</f>
        <v>119.6</v>
      </c>
      <c r="T165" s="75">
        <f>T167</f>
        <v>125.1</v>
      </c>
    </row>
    <row r="166" spans="9:21" s="6" customFormat="1" ht="118.5" customHeight="1" x14ac:dyDescent="0.25">
      <c r="I166" s="189" t="s">
        <v>125</v>
      </c>
      <c r="J166" s="190"/>
      <c r="K166" s="190"/>
      <c r="L166" s="190"/>
      <c r="M166" s="21"/>
      <c r="N166" s="44">
        <v>887</v>
      </c>
      <c r="O166" s="45" t="s">
        <v>124</v>
      </c>
      <c r="P166" s="57" t="s">
        <v>126</v>
      </c>
      <c r="Q166" s="9"/>
      <c r="R166" s="74">
        <f>R165</f>
        <v>113.1</v>
      </c>
      <c r="S166" s="74">
        <f>S165</f>
        <v>119.6</v>
      </c>
      <c r="T166" s="75">
        <f>T165</f>
        <v>125.1</v>
      </c>
    </row>
    <row r="167" spans="9:21" s="6" customFormat="1" ht="27" customHeight="1" x14ac:dyDescent="0.25">
      <c r="I167" s="164" t="s">
        <v>17</v>
      </c>
      <c r="J167" s="165"/>
      <c r="K167" s="165"/>
      <c r="L167" s="165"/>
      <c r="M167" s="18"/>
      <c r="N167" s="46">
        <v>887</v>
      </c>
      <c r="O167" s="47" t="s">
        <v>124</v>
      </c>
      <c r="P167" s="58" t="s">
        <v>126</v>
      </c>
      <c r="Q167" s="10" t="s">
        <v>19</v>
      </c>
      <c r="R167" s="76">
        <f>R168</f>
        <v>113.1</v>
      </c>
      <c r="S167" s="76">
        <f>S168</f>
        <v>119.6</v>
      </c>
      <c r="T167" s="77">
        <f>T168</f>
        <v>125.1</v>
      </c>
    </row>
    <row r="168" spans="9:21" s="6" customFormat="1" ht="33.75" customHeight="1" x14ac:dyDescent="0.25">
      <c r="I168" s="164" t="s">
        <v>20</v>
      </c>
      <c r="J168" s="165"/>
      <c r="K168" s="165"/>
      <c r="L168" s="165"/>
      <c r="M168" s="18"/>
      <c r="N168" s="46">
        <v>887</v>
      </c>
      <c r="O168" s="47" t="s">
        <v>124</v>
      </c>
      <c r="P168" s="58" t="s">
        <v>126</v>
      </c>
      <c r="Q168" s="10" t="s">
        <v>21</v>
      </c>
      <c r="R168" s="83">
        <f>114-0.9</f>
        <v>113.1</v>
      </c>
      <c r="S168" s="88">
        <v>119.6</v>
      </c>
      <c r="T168" s="88">
        <v>125.1</v>
      </c>
      <c r="U168" s="6">
        <v>-0.9</v>
      </c>
    </row>
    <row r="169" spans="9:21" s="6" customFormat="1" ht="18" customHeight="1" x14ac:dyDescent="0.25">
      <c r="I169" s="169" t="s">
        <v>127</v>
      </c>
      <c r="J169" s="170"/>
      <c r="K169" s="170"/>
      <c r="L169" s="170"/>
      <c r="M169" s="170"/>
      <c r="N169" s="44">
        <v>887</v>
      </c>
      <c r="O169" s="45" t="s">
        <v>128</v>
      </c>
      <c r="P169" s="57"/>
      <c r="Q169" s="9"/>
      <c r="R169" s="74">
        <f>R170</f>
        <v>5460.4000000000005</v>
      </c>
      <c r="S169" s="74">
        <f>S170</f>
        <v>5726.3</v>
      </c>
      <c r="T169" s="75">
        <f>T170</f>
        <v>5987.9000000000005</v>
      </c>
    </row>
    <row r="170" spans="9:21" s="6" customFormat="1" ht="39" customHeight="1" x14ac:dyDescent="0.25">
      <c r="I170" s="171" t="s">
        <v>129</v>
      </c>
      <c r="J170" s="172"/>
      <c r="K170" s="172"/>
      <c r="L170" s="172"/>
      <c r="M170" s="172"/>
      <c r="N170" s="44">
        <v>887</v>
      </c>
      <c r="O170" s="45" t="s">
        <v>128</v>
      </c>
      <c r="P170" s="57" t="s">
        <v>130</v>
      </c>
      <c r="Q170" s="9"/>
      <c r="R170" s="74">
        <f>R171+R173+R175</f>
        <v>5460.4000000000005</v>
      </c>
      <c r="S170" s="74">
        <f>S171+S173+S175</f>
        <v>5726.3</v>
      </c>
      <c r="T170" s="75">
        <f>T171+T173+T175</f>
        <v>5987.9000000000005</v>
      </c>
    </row>
    <row r="171" spans="9:21" s="6" customFormat="1" ht="65.25" customHeight="1" x14ac:dyDescent="0.25">
      <c r="I171" s="171" t="s">
        <v>192</v>
      </c>
      <c r="J171" s="172"/>
      <c r="K171" s="172"/>
      <c r="L171" s="172"/>
      <c r="M171" s="172"/>
      <c r="N171" s="46">
        <v>887</v>
      </c>
      <c r="O171" s="47" t="s">
        <v>128</v>
      </c>
      <c r="P171" s="58" t="s">
        <v>130</v>
      </c>
      <c r="Q171" s="10" t="s">
        <v>14</v>
      </c>
      <c r="R171" s="76">
        <f>R172</f>
        <v>1309.5</v>
      </c>
      <c r="S171" s="76">
        <f>S172</f>
        <v>2328.1999999999998</v>
      </c>
      <c r="T171" s="77">
        <f>T172</f>
        <v>2434.5</v>
      </c>
    </row>
    <row r="172" spans="9:21" s="6" customFormat="1" ht="18" customHeight="1" x14ac:dyDescent="0.25">
      <c r="I172" s="164" t="s">
        <v>131</v>
      </c>
      <c r="J172" s="165"/>
      <c r="K172" s="165"/>
      <c r="L172" s="165"/>
      <c r="M172" s="165"/>
      <c r="N172" s="46">
        <v>887</v>
      </c>
      <c r="O172" s="47" t="s">
        <v>128</v>
      </c>
      <c r="P172" s="58" t="s">
        <v>130</v>
      </c>
      <c r="Q172" s="10" t="s">
        <v>132</v>
      </c>
      <c r="R172" s="83">
        <f>2220-910.5</f>
        <v>1309.5</v>
      </c>
      <c r="S172" s="88">
        <v>2328.1999999999998</v>
      </c>
      <c r="T172" s="88">
        <v>2434.5</v>
      </c>
    </row>
    <row r="173" spans="9:21" s="6" customFormat="1" ht="21" customHeight="1" x14ac:dyDescent="0.25">
      <c r="I173" s="185" t="s">
        <v>17</v>
      </c>
      <c r="J173" s="186"/>
      <c r="K173" s="186"/>
      <c r="L173" s="186"/>
      <c r="M173" s="186"/>
      <c r="N173" s="46">
        <v>887</v>
      </c>
      <c r="O173" s="47" t="s">
        <v>128</v>
      </c>
      <c r="P173" s="58" t="s">
        <v>130</v>
      </c>
      <c r="Q173" s="10" t="s">
        <v>19</v>
      </c>
      <c r="R173" s="83">
        <f>R174</f>
        <v>4150.9000000000005</v>
      </c>
      <c r="S173" s="76">
        <f>S174</f>
        <v>3398</v>
      </c>
      <c r="T173" s="77">
        <f>T174</f>
        <v>3553.3</v>
      </c>
    </row>
    <row r="174" spans="9:21" s="6" customFormat="1" ht="25.5" customHeight="1" x14ac:dyDescent="0.25">
      <c r="I174" s="185" t="s">
        <v>20</v>
      </c>
      <c r="J174" s="186"/>
      <c r="K174" s="186"/>
      <c r="L174" s="186"/>
      <c r="M174" s="114"/>
      <c r="N174" s="46">
        <v>887</v>
      </c>
      <c r="O174" s="47" t="s">
        <v>128</v>
      </c>
      <c r="P174" s="58" t="s">
        <v>130</v>
      </c>
      <c r="Q174" s="10" t="s">
        <v>21</v>
      </c>
      <c r="R174" s="83">
        <f>3240.3+910.5+0.1</f>
        <v>4150.9000000000005</v>
      </c>
      <c r="S174" s="88">
        <v>3398</v>
      </c>
      <c r="T174" s="88">
        <v>3553.3</v>
      </c>
    </row>
    <row r="175" spans="9:21" s="6" customFormat="1" ht="19.5" customHeight="1" x14ac:dyDescent="0.25">
      <c r="I175" s="187" t="s">
        <v>33</v>
      </c>
      <c r="J175" s="188"/>
      <c r="K175" s="188"/>
      <c r="L175" s="188"/>
      <c r="M175" s="188"/>
      <c r="N175" s="46">
        <v>887</v>
      </c>
      <c r="O175" s="47" t="s">
        <v>128</v>
      </c>
      <c r="P175" s="58" t="s">
        <v>130</v>
      </c>
      <c r="Q175" s="10" t="s">
        <v>34</v>
      </c>
      <c r="R175" s="83">
        <f>R176</f>
        <v>0</v>
      </c>
      <c r="S175" s="76">
        <f>S176</f>
        <v>0.1</v>
      </c>
      <c r="T175" s="77">
        <f>T176</f>
        <v>0.1</v>
      </c>
    </row>
    <row r="176" spans="9:21" s="6" customFormat="1" ht="17.25" customHeight="1" x14ac:dyDescent="0.25">
      <c r="I176" s="164" t="s">
        <v>27</v>
      </c>
      <c r="J176" s="165"/>
      <c r="K176" s="165"/>
      <c r="L176" s="165"/>
      <c r="M176" s="22"/>
      <c r="N176" s="46">
        <v>887</v>
      </c>
      <c r="O176" s="47" t="s">
        <v>128</v>
      </c>
      <c r="P176" s="58" t="s">
        <v>130</v>
      </c>
      <c r="Q176" s="10" t="s">
        <v>28</v>
      </c>
      <c r="R176" s="83">
        <v>0</v>
      </c>
      <c r="S176" s="88">
        <v>0.1</v>
      </c>
      <c r="T176" s="88">
        <v>0.1</v>
      </c>
    </row>
    <row r="177" spans="9:20" s="6" customFormat="1" ht="17.25" customHeight="1" x14ac:dyDescent="0.25">
      <c r="I177" s="169" t="s">
        <v>133</v>
      </c>
      <c r="J177" s="170"/>
      <c r="K177" s="170"/>
      <c r="L177" s="170"/>
      <c r="M177" s="22"/>
      <c r="N177" s="44">
        <v>887</v>
      </c>
      <c r="O177" s="45" t="s">
        <v>134</v>
      </c>
      <c r="P177" s="57"/>
      <c r="Q177" s="9"/>
      <c r="R177" s="74">
        <f>R178+R181</f>
        <v>14.6</v>
      </c>
      <c r="S177" s="74">
        <f>S178+S181</f>
        <v>15.2</v>
      </c>
      <c r="T177" s="75">
        <f>T178+T181</f>
        <v>16</v>
      </c>
    </row>
    <row r="178" spans="9:20" s="6" customFormat="1" ht="51.75" customHeight="1" x14ac:dyDescent="0.25">
      <c r="I178" s="181" t="s">
        <v>68</v>
      </c>
      <c r="J178" s="182"/>
      <c r="K178" s="182"/>
      <c r="L178" s="182"/>
      <c r="M178" s="29"/>
      <c r="N178" s="54">
        <v>887</v>
      </c>
      <c r="O178" s="55" t="s">
        <v>134</v>
      </c>
      <c r="P178" s="64" t="s">
        <v>69</v>
      </c>
      <c r="Q178" s="30"/>
      <c r="R178" s="74">
        <f t="shared" ref="R178:T179" si="29">R179</f>
        <v>7.3</v>
      </c>
      <c r="S178" s="74">
        <f t="shared" si="29"/>
        <v>7.6</v>
      </c>
      <c r="T178" s="75">
        <f t="shared" si="29"/>
        <v>8</v>
      </c>
    </row>
    <row r="179" spans="9:20" s="6" customFormat="1" ht="22.5" customHeight="1" x14ac:dyDescent="0.25">
      <c r="I179" s="183" t="s">
        <v>17</v>
      </c>
      <c r="J179" s="184"/>
      <c r="K179" s="184"/>
      <c r="L179" s="184"/>
      <c r="M179" s="29"/>
      <c r="N179" s="48">
        <v>887</v>
      </c>
      <c r="O179" s="49" t="s">
        <v>134</v>
      </c>
      <c r="P179" s="65" t="s">
        <v>69</v>
      </c>
      <c r="Q179" s="31" t="s">
        <v>19</v>
      </c>
      <c r="R179" s="76">
        <f t="shared" si="29"/>
        <v>7.3</v>
      </c>
      <c r="S179" s="76">
        <f t="shared" si="29"/>
        <v>7.6</v>
      </c>
      <c r="T179" s="77">
        <f t="shared" si="29"/>
        <v>8</v>
      </c>
    </row>
    <row r="180" spans="9:20" s="6" customFormat="1" ht="25.5" customHeight="1" x14ac:dyDescent="0.25">
      <c r="I180" s="183" t="s">
        <v>20</v>
      </c>
      <c r="J180" s="184"/>
      <c r="K180" s="184"/>
      <c r="L180" s="184"/>
      <c r="M180" s="29"/>
      <c r="N180" s="48">
        <v>887</v>
      </c>
      <c r="O180" s="49" t="s">
        <v>134</v>
      </c>
      <c r="P180" s="65" t="s">
        <v>69</v>
      </c>
      <c r="Q180" s="31" t="s">
        <v>21</v>
      </c>
      <c r="R180" s="83">
        <f>2.8+4.5</f>
        <v>7.3</v>
      </c>
      <c r="S180" s="100">
        <f>2.9+4.7</f>
        <v>7.6</v>
      </c>
      <c r="T180" s="100">
        <f>3.1+4.9</f>
        <v>8</v>
      </c>
    </row>
    <row r="181" spans="9:20" s="6" customFormat="1" ht="81" customHeight="1" x14ac:dyDescent="0.25">
      <c r="I181" s="181" t="s">
        <v>135</v>
      </c>
      <c r="J181" s="182"/>
      <c r="K181" s="182"/>
      <c r="L181" s="182"/>
      <c r="M181" s="32"/>
      <c r="N181" s="54">
        <v>887</v>
      </c>
      <c r="O181" s="55" t="s">
        <v>134</v>
      </c>
      <c r="P181" s="64" t="s">
        <v>73</v>
      </c>
      <c r="Q181" s="30"/>
      <c r="R181" s="74">
        <f t="shared" ref="R181:T182" si="30">R182</f>
        <v>7.3</v>
      </c>
      <c r="S181" s="74">
        <f t="shared" si="30"/>
        <v>7.6</v>
      </c>
      <c r="T181" s="75">
        <f t="shared" si="30"/>
        <v>8</v>
      </c>
    </row>
    <row r="182" spans="9:20" s="6" customFormat="1" ht="26.25" customHeight="1" x14ac:dyDescent="0.25">
      <c r="I182" s="175" t="s">
        <v>17</v>
      </c>
      <c r="J182" s="176"/>
      <c r="K182" s="176"/>
      <c r="L182" s="176"/>
      <c r="M182" s="32"/>
      <c r="N182" s="48">
        <v>887</v>
      </c>
      <c r="O182" s="49" t="s">
        <v>134</v>
      </c>
      <c r="P182" s="65" t="s">
        <v>73</v>
      </c>
      <c r="Q182" s="31" t="s">
        <v>19</v>
      </c>
      <c r="R182" s="76">
        <f t="shared" si="30"/>
        <v>7.3</v>
      </c>
      <c r="S182" s="76">
        <f t="shared" si="30"/>
        <v>7.6</v>
      </c>
      <c r="T182" s="77">
        <f t="shared" si="30"/>
        <v>8</v>
      </c>
    </row>
    <row r="183" spans="9:20" s="6" customFormat="1" ht="24.75" customHeight="1" x14ac:dyDescent="0.25">
      <c r="I183" s="175" t="s">
        <v>20</v>
      </c>
      <c r="J183" s="176"/>
      <c r="K183" s="176"/>
      <c r="L183" s="176"/>
      <c r="M183" s="32"/>
      <c r="N183" s="48">
        <v>887</v>
      </c>
      <c r="O183" s="49" t="s">
        <v>134</v>
      </c>
      <c r="P183" s="65" t="s">
        <v>73</v>
      </c>
      <c r="Q183" s="31" t="s">
        <v>21</v>
      </c>
      <c r="R183" s="83">
        <f>2.8+4.5</f>
        <v>7.3</v>
      </c>
      <c r="S183" s="100">
        <v>7.6</v>
      </c>
      <c r="T183" s="100">
        <v>8</v>
      </c>
    </row>
    <row r="184" spans="9:20" s="6" customFormat="1" ht="18" hidden="1" customHeight="1" x14ac:dyDescent="0.25">
      <c r="I184" s="124"/>
      <c r="J184" s="11"/>
      <c r="K184" s="11"/>
      <c r="L184" s="11"/>
      <c r="M184" s="22"/>
      <c r="N184" s="46"/>
      <c r="O184" s="47"/>
      <c r="P184" s="58"/>
      <c r="Q184" s="10"/>
      <c r="R184" s="76"/>
      <c r="S184" s="88"/>
      <c r="T184" s="88"/>
    </row>
    <row r="185" spans="9:20" s="6" customFormat="1" ht="18" hidden="1" customHeight="1" x14ac:dyDescent="0.25">
      <c r="I185" s="124"/>
      <c r="J185" s="11"/>
      <c r="K185" s="11"/>
      <c r="L185" s="11"/>
      <c r="M185" s="22"/>
      <c r="N185" s="46"/>
      <c r="O185" s="47"/>
      <c r="P185" s="58"/>
      <c r="Q185" s="10"/>
      <c r="R185" s="76"/>
      <c r="S185" s="88"/>
      <c r="T185" s="88"/>
    </row>
    <row r="186" spans="9:20" s="6" customFormat="1" ht="18" hidden="1" customHeight="1" x14ac:dyDescent="0.25">
      <c r="I186" s="124"/>
      <c r="J186" s="11"/>
      <c r="K186" s="11"/>
      <c r="L186" s="11"/>
      <c r="M186" s="22"/>
      <c r="N186" s="46"/>
      <c r="O186" s="47"/>
      <c r="P186" s="58"/>
      <c r="Q186" s="10"/>
      <c r="R186" s="76"/>
      <c r="S186" s="88"/>
      <c r="T186" s="88"/>
    </row>
    <row r="187" spans="9:20" s="6" customFormat="1" ht="18" hidden="1" customHeight="1" x14ac:dyDescent="0.25">
      <c r="I187" s="124"/>
      <c r="J187" s="11"/>
      <c r="K187" s="11"/>
      <c r="L187" s="11"/>
      <c r="M187" s="22"/>
      <c r="N187" s="46"/>
      <c r="O187" s="47"/>
      <c r="P187" s="58"/>
      <c r="Q187" s="10"/>
      <c r="R187" s="76"/>
      <c r="S187" s="88"/>
      <c r="T187" s="88"/>
    </row>
    <row r="188" spans="9:20" s="6" customFormat="1" ht="18" hidden="1" customHeight="1" x14ac:dyDescent="0.25">
      <c r="I188" s="124"/>
      <c r="J188" s="11"/>
      <c r="K188" s="11"/>
      <c r="L188" s="11"/>
      <c r="M188" s="22"/>
      <c r="N188" s="46"/>
      <c r="O188" s="47"/>
      <c r="P188" s="58"/>
      <c r="Q188" s="10"/>
      <c r="R188" s="76"/>
      <c r="S188" s="88"/>
      <c r="T188" s="88"/>
    </row>
    <row r="189" spans="9:20" s="6" customFormat="1" ht="18" hidden="1" customHeight="1" x14ac:dyDescent="0.25">
      <c r="I189" s="124"/>
      <c r="J189" s="11"/>
      <c r="K189" s="11"/>
      <c r="L189" s="11"/>
      <c r="M189" s="22"/>
      <c r="N189" s="46"/>
      <c r="O189" s="47"/>
      <c r="P189" s="58"/>
      <c r="Q189" s="10"/>
      <c r="R189" s="76"/>
      <c r="S189" s="88"/>
      <c r="T189" s="88"/>
    </row>
    <row r="190" spans="9:20" s="6" customFormat="1" ht="18" hidden="1" customHeight="1" x14ac:dyDescent="0.25">
      <c r="I190" s="124"/>
      <c r="J190" s="11"/>
      <c r="K190" s="11"/>
      <c r="L190" s="11"/>
      <c r="M190" s="22"/>
      <c r="N190" s="46"/>
      <c r="O190" s="47"/>
      <c r="P190" s="58"/>
      <c r="Q190" s="10"/>
      <c r="R190" s="76"/>
      <c r="S190" s="88"/>
      <c r="T190" s="88"/>
    </row>
    <row r="191" spans="9:20" s="6" customFormat="1" ht="18" hidden="1" customHeight="1" x14ac:dyDescent="0.25">
      <c r="I191" s="124"/>
      <c r="J191" s="11"/>
      <c r="K191" s="11"/>
      <c r="L191" s="11"/>
      <c r="M191" s="22"/>
      <c r="N191" s="46"/>
      <c r="O191" s="47"/>
      <c r="P191" s="58"/>
      <c r="Q191" s="10"/>
      <c r="R191" s="76"/>
      <c r="S191" s="88"/>
      <c r="T191" s="88"/>
    </row>
    <row r="192" spans="9:20" s="6" customFormat="1" ht="18" hidden="1" customHeight="1" x14ac:dyDescent="0.25">
      <c r="I192" s="124"/>
      <c r="J192" s="11"/>
      <c r="K192" s="11"/>
      <c r="L192" s="11"/>
      <c r="M192" s="22"/>
      <c r="N192" s="46"/>
      <c r="O192" s="47"/>
      <c r="P192" s="58"/>
      <c r="Q192" s="10"/>
      <c r="R192" s="76"/>
      <c r="S192" s="88"/>
      <c r="T192" s="88"/>
    </row>
    <row r="193" spans="9:24" s="6" customFormat="1" ht="35.25" customHeight="1" x14ac:dyDescent="0.3">
      <c r="I193" s="177" t="s">
        <v>136</v>
      </c>
      <c r="J193" s="178"/>
      <c r="K193" s="178"/>
      <c r="L193" s="178"/>
      <c r="M193" s="178"/>
      <c r="N193" s="44">
        <v>887</v>
      </c>
      <c r="O193" s="45" t="s">
        <v>137</v>
      </c>
      <c r="P193" s="57"/>
      <c r="Q193" s="9"/>
      <c r="R193" s="74">
        <f>R194</f>
        <v>5464.8</v>
      </c>
      <c r="S193" s="74">
        <f t="shared" ref="S193:T196" si="31">S194</f>
        <v>4886.8999999999996</v>
      </c>
      <c r="T193" s="75">
        <f t="shared" si="31"/>
        <v>5110.2</v>
      </c>
    </row>
    <row r="194" spans="9:24" s="6" customFormat="1" ht="17.25" customHeight="1" x14ac:dyDescent="0.25">
      <c r="I194" s="158" t="s">
        <v>138</v>
      </c>
      <c r="J194" s="159"/>
      <c r="K194" s="159"/>
      <c r="L194" s="159"/>
      <c r="M194" s="159"/>
      <c r="N194" s="44">
        <v>887</v>
      </c>
      <c r="O194" s="45" t="s">
        <v>139</v>
      </c>
      <c r="P194" s="57"/>
      <c r="Q194" s="9"/>
      <c r="R194" s="74">
        <f>R195</f>
        <v>5464.8</v>
      </c>
      <c r="S194" s="74">
        <f t="shared" si="31"/>
        <v>4886.8999999999996</v>
      </c>
      <c r="T194" s="75">
        <f t="shared" si="31"/>
        <v>5110.2</v>
      </c>
    </row>
    <row r="195" spans="9:24" s="6" customFormat="1" ht="36.75" customHeight="1" x14ac:dyDescent="0.25">
      <c r="I195" s="179" t="s">
        <v>140</v>
      </c>
      <c r="J195" s="180"/>
      <c r="K195" s="180"/>
      <c r="L195" s="180"/>
      <c r="M195" s="180"/>
      <c r="N195" s="129">
        <v>887</v>
      </c>
      <c r="O195" s="130" t="s">
        <v>139</v>
      </c>
      <c r="P195" s="115" t="s">
        <v>141</v>
      </c>
      <c r="Q195" s="116"/>
      <c r="R195" s="83">
        <f>R196</f>
        <v>5464.8</v>
      </c>
      <c r="S195" s="83">
        <f t="shared" si="31"/>
        <v>4886.8999999999996</v>
      </c>
      <c r="T195" s="86">
        <f t="shared" si="31"/>
        <v>5110.2</v>
      </c>
    </row>
    <row r="196" spans="9:24" s="6" customFormat="1" ht="26.25" customHeight="1" x14ac:dyDescent="0.25">
      <c r="I196" s="164" t="s">
        <v>17</v>
      </c>
      <c r="J196" s="165"/>
      <c r="K196" s="165"/>
      <c r="L196" s="165"/>
      <c r="M196" s="165"/>
      <c r="N196" s="46">
        <v>887</v>
      </c>
      <c r="O196" s="47" t="s">
        <v>139</v>
      </c>
      <c r="P196" s="58" t="s">
        <v>141</v>
      </c>
      <c r="Q196" s="10" t="s">
        <v>19</v>
      </c>
      <c r="R196" s="76">
        <f>R197</f>
        <v>5464.8</v>
      </c>
      <c r="S196" s="76">
        <f t="shared" si="31"/>
        <v>4886.8999999999996</v>
      </c>
      <c r="T196" s="77">
        <f t="shared" si="31"/>
        <v>5110.2</v>
      </c>
    </row>
    <row r="197" spans="9:24" s="6" customFormat="1" ht="28.5" customHeight="1" x14ac:dyDescent="0.25">
      <c r="I197" s="164" t="s">
        <v>20</v>
      </c>
      <c r="J197" s="165"/>
      <c r="K197" s="165"/>
      <c r="L197" s="165"/>
      <c r="M197" s="11"/>
      <c r="N197" s="46">
        <v>887</v>
      </c>
      <c r="O197" s="47" t="s">
        <v>139</v>
      </c>
      <c r="P197" s="58" t="s">
        <v>141</v>
      </c>
      <c r="Q197" s="10" t="s">
        <v>21</v>
      </c>
      <c r="R197" s="87">
        <f>4660+693+119.5+60-67.7</f>
        <v>5464.8</v>
      </c>
      <c r="S197" s="100">
        <f>4886.9</f>
        <v>4886.8999999999996</v>
      </c>
      <c r="T197" s="100">
        <f>5110.2</f>
        <v>5110.2</v>
      </c>
      <c r="U197" s="147">
        <v>-7.7</v>
      </c>
    </row>
    <row r="198" spans="9:24" s="17" customFormat="1" ht="26.25" customHeight="1" x14ac:dyDescent="0.25">
      <c r="I198" s="169" t="s">
        <v>142</v>
      </c>
      <c r="J198" s="170"/>
      <c r="K198" s="170"/>
      <c r="L198" s="170"/>
      <c r="M198" s="21"/>
      <c r="N198" s="44">
        <v>887</v>
      </c>
      <c r="O198" s="45" t="s">
        <v>143</v>
      </c>
      <c r="P198" s="57"/>
      <c r="Q198" s="9"/>
      <c r="R198" s="74">
        <f>R204+R207+R199</f>
        <v>1612</v>
      </c>
      <c r="S198" s="74">
        <f>S204+S207+S199</f>
        <v>1674.6999999999998</v>
      </c>
      <c r="T198" s="75">
        <f>T204+T207+T199</f>
        <v>1751.1999999999998</v>
      </c>
      <c r="U198" s="148"/>
    </row>
    <row r="199" spans="9:24" s="17" customFormat="1" ht="24" customHeight="1" x14ac:dyDescent="0.25">
      <c r="I199" s="169" t="s">
        <v>144</v>
      </c>
      <c r="J199" s="170"/>
      <c r="K199" s="170"/>
      <c r="L199" s="170"/>
      <c r="M199" s="21"/>
      <c r="N199" s="44">
        <v>887</v>
      </c>
      <c r="O199" s="45" t="s">
        <v>145</v>
      </c>
      <c r="P199" s="57"/>
      <c r="Q199" s="9"/>
      <c r="R199" s="74">
        <f>R200</f>
        <v>320.89999999999998</v>
      </c>
      <c r="S199" s="74">
        <f t="shared" ref="S199:T201" si="32">S200</f>
        <v>332.6</v>
      </c>
      <c r="T199" s="75">
        <f t="shared" si="32"/>
        <v>347.8</v>
      </c>
      <c r="U199" s="148"/>
    </row>
    <row r="200" spans="9:24" s="17" customFormat="1" ht="106.5" customHeight="1" x14ac:dyDescent="0.25">
      <c r="I200" s="171" t="s">
        <v>168</v>
      </c>
      <c r="J200" s="172"/>
      <c r="K200" s="172"/>
      <c r="L200" s="172"/>
      <c r="M200" s="13"/>
      <c r="N200" s="44">
        <v>887</v>
      </c>
      <c r="O200" s="45" t="s">
        <v>145</v>
      </c>
      <c r="P200" s="57" t="s">
        <v>146</v>
      </c>
      <c r="Q200" s="9"/>
      <c r="R200" s="74">
        <f>R201</f>
        <v>320.89999999999998</v>
      </c>
      <c r="S200" s="74">
        <f t="shared" si="32"/>
        <v>332.6</v>
      </c>
      <c r="T200" s="75">
        <f t="shared" si="32"/>
        <v>347.8</v>
      </c>
      <c r="U200" s="148"/>
    </row>
    <row r="201" spans="9:24" s="17" customFormat="1" ht="20.25" customHeight="1" x14ac:dyDescent="0.25">
      <c r="I201" s="164" t="s">
        <v>147</v>
      </c>
      <c r="J201" s="165"/>
      <c r="K201" s="165"/>
      <c r="L201" s="165"/>
      <c r="M201" s="165"/>
      <c r="N201" s="46">
        <v>887</v>
      </c>
      <c r="O201" s="47" t="s">
        <v>145</v>
      </c>
      <c r="P201" s="58" t="s">
        <v>146</v>
      </c>
      <c r="Q201" s="10" t="s">
        <v>148</v>
      </c>
      <c r="R201" s="76">
        <f>R202</f>
        <v>320.89999999999998</v>
      </c>
      <c r="S201" s="76">
        <f t="shared" si="32"/>
        <v>332.6</v>
      </c>
      <c r="T201" s="77">
        <f t="shared" si="32"/>
        <v>347.8</v>
      </c>
      <c r="U201" s="148"/>
    </row>
    <row r="202" spans="9:24" s="17" customFormat="1" ht="26.25" customHeight="1" x14ac:dyDescent="0.25">
      <c r="I202" s="164" t="s">
        <v>149</v>
      </c>
      <c r="J202" s="165"/>
      <c r="K202" s="165"/>
      <c r="L202" s="165"/>
      <c r="M202" s="165"/>
      <c r="N202" s="46">
        <v>887</v>
      </c>
      <c r="O202" s="47" t="s">
        <v>145</v>
      </c>
      <c r="P202" s="58" t="s">
        <v>146</v>
      </c>
      <c r="Q202" s="10" t="s">
        <v>150</v>
      </c>
      <c r="R202" s="83">
        <f>317.2+3.7</f>
        <v>320.89999999999998</v>
      </c>
      <c r="S202" s="100">
        <v>332.6</v>
      </c>
      <c r="T202" s="100">
        <v>347.8</v>
      </c>
      <c r="U202" s="147"/>
      <c r="V202" s="6"/>
      <c r="W202" s="6"/>
      <c r="X202" s="6"/>
    </row>
    <row r="203" spans="9:24" s="17" customFormat="1" ht="22.5" customHeight="1" x14ac:dyDescent="0.25">
      <c r="I203" s="169" t="s">
        <v>151</v>
      </c>
      <c r="J203" s="170"/>
      <c r="K203" s="170"/>
      <c r="L203" s="170"/>
      <c r="M203" s="21"/>
      <c r="N203" s="44">
        <v>887</v>
      </c>
      <c r="O203" s="45" t="s">
        <v>152</v>
      </c>
      <c r="P203" s="57"/>
      <c r="Q203" s="9"/>
      <c r="R203" s="74">
        <f>R204</f>
        <v>1104.0999999999999</v>
      </c>
      <c r="S203" s="74">
        <f t="shared" ref="S203:T205" si="33">S204</f>
        <v>1146</v>
      </c>
      <c r="T203" s="75">
        <f t="shared" si="33"/>
        <v>1198.3</v>
      </c>
      <c r="U203" s="148"/>
    </row>
    <row r="204" spans="9:24" s="17" customFormat="1" ht="142.5" customHeight="1" x14ac:dyDescent="0.25">
      <c r="I204" s="171" t="s">
        <v>169</v>
      </c>
      <c r="J204" s="172"/>
      <c r="K204" s="172"/>
      <c r="L204" s="172"/>
      <c r="M204" s="13"/>
      <c r="N204" s="44">
        <v>887</v>
      </c>
      <c r="O204" s="45" t="s">
        <v>152</v>
      </c>
      <c r="P204" s="57" t="s">
        <v>153</v>
      </c>
      <c r="Q204" s="9"/>
      <c r="R204" s="74">
        <f>R205</f>
        <v>1104.0999999999999</v>
      </c>
      <c r="S204" s="74">
        <f t="shared" si="33"/>
        <v>1146</v>
      </c>
      <c r="T204" s="75">
        <f t="shared" si="33"/>
        <v>1198.3</v>
      </c>
      <c r="U204" s="148"/>
    </row>
    <row r="205" spans="9:24" s="17" customFormat="1" ht="21.75" customHeight="1" x14ac:dyDescent="0.25">
      <c r="I205" s="164" t="s">
        <v>147</v>
      </c>
      <c r="J205" s="165"/>
      <c r="K205" s="165"/>
      <c r="L205" s="165"/>
      <c r="M205" s="165"/>
      <c r="N205" s="46">
        <v>887</v>
      </c>
      <c r="O205" s="47" t="s">
        <v>152</v>
      </c>
      <c r="P205" s="58" t="s">
        <v>153</v>
      </c>
      <c r="Q205" s="10" t="s">
        <v>148</v>
      </c>
      <c r="R205" s="76">
        <f>R206</f>
        <v>1104.0999999999999</v>
      </c>
      <c r="S205" s="76">
        <f t="shared" si="33"/>
        <v>1146</v>
      </c>
      <c r="T205" s="77">
        <f t="shared" si="33"/>
        <v>1198.3</v>
      </c>
      <c r="U205" s="148"/>
    </row>
    <row r="206" spans="9:24" s="17" customFormat="1" ht="27" customHeight="1" x14ac:dyDescent="0.25">
      <c r="I206" s="164" t="s">
        <v>149</v>
      </c>
      <c r="J206" s="165"/>
      <c r="K206" s="165"/>
      <c r="L206" s="165"/>
      <c r="M206" s="165"/>
      <c r="N206" s="46">
        <v>887</v>
      </c>
      <c r="O206" s="47" t="s">
        <v>152</v>
      </c>
      <c r="P206" s="58" t="s">
        <v>153</v>
      </c>
      <c r="Q206" s="10" t="s">
        <v>150</v>
      </c>
      <c r="R206" s="83">
        <f>1093+11.1</f>
        <v>1104.0999999999999</v>
      </c>
      <c r="S206" s="100">
        <v>1146</v>
      </c>
      <c r="T206" s="100">
        <v>1198.3</v>
      </c>
      <c r="U206" s="147"/>
      <c r="V206" s="6"/>
      <c r="W206" s="6"/>
    </row>
    <row r="207" spans="9:24" s="17" customFormat="1" ht="16.5" customHeight="1" x14ac:dyDescent="0.25">
      <c r="I207" s="169" t="s">
        <v>154</v>
      </c>
      <c r="J207" s="170"/>
      <c r="K207" s="170"/>
      <c r="L207" s="170"/>
      <c r="M207" s="13"/>
      <c r="N207" s="44">
        <v>887</v>
      </c>
      <c r="O207" s="45" t="s">
        <v>155</v>
      </c>
      <c r="P207" s="57"/>
      <c r="Q207" s="9"/>
      <c r="R207" s="74">
        <f>R208+R211</f>
        <v>187</v>
      </c>
      <c r="S207" s="74">
        <f>S208+S211</f>
        <v>196.1</v>
      </c>
      <c r="T207" s="75">
        <f>T208+T211</f>
        <v>205.1</v>
      </c>
      <c r="U207" s="148"/>
    </row>
    <row r="208" spans="9:24" s="6" customFormat="1" ht="75.75" customHeight="1" x14ac:dyDescent="0.25">
      <c r="I208" s="173" t="s">
        <v>207</v>
      </c>
      <c r="J208" s="174"/>
      <c r="K208" s="174"/>
      <c r="L208" s="174"/>
      <c r="M208" s="11"/>
      <c r="N208" s="44">
        <v>887</v>
      </c>
      <c r="O208" s="45" t="s">
        <v>155</v>
      </c>
      <c r="P208" s="57" t="s">
        <v>156</v>
      </c>
      <c r="Q208" s="10"/>
      <c r="R208" s="76">
        <f t="shared" ref="R208:T209" si="34">R209</f>
        <v>187</v>
      </c>
      <c r="S208" s="76">
        <f t="shared" si="34"/>
        <v>196.1</v>
      </c>
      <c r="T208" s="77">
        <f t="shared" si="34"/>
        <v>205.1</v>
      </c>
      <c r="U208" s="147"/>
    </row>
    <row r="209" spans="1:23" s="6" customFormat="1" ht="23.25" customHeight="1" x14ac:dyDescent="0.25">
      <c r="I209" s="164" t="s">
        <v>147</v>
      </c>
      <c r="J209" s="165"/>
      <c r="K209" s="165"/>
      <c r="L209" s="165"/>
      <c r="M209" s="165"/>
      <c r="N209" s="46">
        <v>887</v>
      </c>
      <c r="O209" s="47" t="s">
        <v>155</v>
      </c>
      <c r="P209" s="58" t="s">
        <v>156</v>
      </c>
      <c r="Q209" s="10" t="s">
        <v>148</v>
      </c>
      <c r="R209" s="76">
        <f t="shared" si="34"/>
        <v>187</v>
      </c>
      <c r="S209" s="76">
        <f t="shared" si="34"/>
        <v>196.1</v>
      </c>
      <c r="T209" s="77">
        <f t="shared" si="34"/>
        <v>205.1</v>
      </c>
      <c r="U209" s="147"/>
    </row>
    <row r="210" spans="1:23" s="6" customFormat="1" ht="27.75" customHeight="1" x14ac:dyDescent="0.25">
      <c r="I210" s="164" t="s">
        <v>149</v>
      </c>
      <c r="J210" s="165"/>
      <c r="K210" s="165"/>
      <c r="L210" s="165"/>
      <c r="M210" s="165"/>
      <c r="N210" s="46">
        <v>887</v>
      </c>
      <c r="O210" s="47" t="s">
        <v>155</v>
      </c>
      <c r="P210" s="58" t="s">
        <v>156</v>
      </c>
      <c r="Q210" s="10" t="s">
        <v>150</v>
      </c>
      <c r="R210" s="76">
        <v>187</v>
      </c>
      <c r="S210" s="88">
        <v>196.1</v>
      </c>
      <c r="T210" s="88">
        <v>205.1</v>
      </c>
      <c r="U210" s="147"/>
    </row>
    <row r="211" spans="1:23" s="6" customFormat="1" ht="70.5" hidden="1" customHeight="1" x14ac:dyDescent="0.25">
      <c r="I211" s="167" t="s">
        <v>157</v>
      </c>
      <c r="J211" s="168"/>
      <c r="K211" s="168"/>
      <c r="L211" s="168"/>
      <c r="M211" s="11"/>
      <c r="N211" s="44">
        <v>887</v>
      </c>
      <c r="O211" s="45" t="s">
        <v>155</v>
      </c>
      <c r="P211" s="57" t="s">
        <v>158</v>
      </c>
      <c r="Q211" s="10"/>
      <c r="R211" s="76">
        <f>R212</f>
        <v>0</v>
      </c>
      <c r="S211" s="88"/>
      <c r="T211" s="88"/>
      <c r="U211" s="147"/>
    </row>
    <row r="212" spans="1:23" s="6" customFormat="1" ht="20.25" hidden="1" customHeight="1" x14ac:dyDescent="0.25">
      <c r="I212" s="164" t="s">
        <v>147</v>
      </c>
      <c r="J212" s="165"/>
      <c r="K212" s="165"/>
      <c r="L212" s="165"/>
      <c r="M212" s="165"/>
      <c r="N212" s="46">
        <v>887</v>
      </c>
      <c r="O212" s="47" t="s">
        <v>155</v>
      </c>
      <c r="P212" s="58" t="s">
        <v>158</v>
      </c>
      <c r="Q212" s="10" t="s">
        <v>148</v>
      </c>
      <c r="R212" s="76">
        <f>R213</f>
        <v>0</v>
      </c>
      <c r="S212" s="88"/>
      <c r="T212" s="88"/>
      <c r="U212" s="147"/>
    </row>
    <row r="213" spans="1:23" s="6" customFormat="1" ht="13.8" hidden="1" x14ac:dyDescent="0.25">
      <c r="I213" s="164" t="s">
        <v>159</v>
      </c>
      <c r="J213" s="165"/>
      <c r="K213" s="165"/>
      <c r="L213" s="165"/>
      <c r="M213" s="165"/>
      <c r="N213" s="46">
        <v>887</v>
      </c>
      <c r="O213" s="47" t="s">
        <v>155</v>
      </c>
      <c r="P213" s="58" t="s">
        <v>158</v>
      </c>
      <c r="Q213" s="10" t="s">
        <v>160</v>
      </c>
      <c r="R213" s="76"/>
      <c r="S213" s="88"/>
      <c r="T213" s="88"/>
      <c r="U213" s="147"/>
    </row>
    <row r="214" spans="1:23" s="6" customFormat="1" ht="24" customHeight="1" x14ac:dyDescent="0.25">
      <c r="I214" s="169" t="s">
        <v>161</v>
      </c>
      <c r="J214" s="170"/>
      <c r="K214" s="170"/>
      <c r="L214" s="170"/>
      <c r="M214" s="170"/>
      <c r="N214" s="44">
        <v>887</v>
      </c>
      <c r="O214" s="45" t="s">
        <v>162</v>
      </c>
      <c r="P214" s="57"/>
      <c r="Q214" s="9"/>
      <c r="R214" s="84">
        <f>R215</f>
        <v>263.89999999999998</v>
      </c>
      <c r="S214" s="84">
        <f t="shared" ref="S214:T217" si="35">S215</f>
        <v>278.89999999999998</v>
      </c>
      <c r="T214" s="85">
        <f t="shared" si="35"/>
        <v>315.3</v>
      </c>
      <c r="U214" s="147"/>
    </row>
    <row r="215" spans="1:23" s="6" customFormat="1" ht="22.5" customHeight="1" x14ac:dyDescent="0.25">
      <c r="I215" s="158" t="s">
        <v>163</v>
      </c>
      <c r="J215" s="159"/>
      <c r="K215" s="159"/>
      <c r="L215" s="159"/>
      <c r="M215" s="159"/>
      <c r="N215" s="44">
        <v>887</v>
      </c>
      <c r="O215" s="45" t="s">
        <v>164</v>
      </c>
      <c r="P215" s="57" t="s">
        <v>165</v>
      </c>
      <c r="Q215" s="9"/>
      <c r="R215" s="84">
        <f>R216</f>
        <v>263.89999999999998</v>
      </c>
      <c r="S215" s="84">
        <f t="shared" si="35"/>
        <v>278.89999999999998</v>
      </c>
      <c r="T215" s="85">
        <f t="shared" si="35"/>
        <v>315.3</v>
      </c>
      <c r="U215" s="147"/>
    </row>
    <row r="216" spans="1:23" s="6" customFormat="1" ht="162" customHeight="1" x14ac:dyDescent="0.25">
      <c r="I216" s="160" t="s">
        <v>166</v>
      </c>
      <c r="J216" s="161"/>
      <c r="K216" s="161"/>
      <c r="L216" s="161"/>
      <c r="M216" s="27"/>
      <c r="N216" s="46">
        <v>887</v>
      </c>
      <c r="O216" s="47" t="s">
        <v>164</v>
      </c>
      <c r="P216" s="58" t="s">
        <v>165</v>
      </c>
      <c r="Q216" s="10"/>
      <c r="R216" s="76">
        <f>R217</f>
        <v>263.89999999999998</v>
      </c>
      <c r="S216" s="76">
        <f t="shared" si="35"/>
        <v>278.89999999999998</v>
      </c>
      <c r="T216" s="77">
        <f t="shared" si="35"/>
        <v>315.3</v>
      </c>
      <c r="U216" s="147"/>
    </row>
    <row r="217" spans="1:23" s="6" customFormat="1" ht="29.25" customHeight="1" x14ac:dyDescent="0.25">
      <c r="I217" s="162" t="s">
        <v>17</v>
      </c>
      <c r="J217" s="163"/>
      <c r="K217" s="163"/>
      <c r="L217" s="163"/>
      <c r="M217" s="163"/>
      <c r="N217" s="46">
        <v>887</v>
      </c>
      <c r="O217" s="47" t="s">
        <v>164</v>
      </c>
      <c r="P217" s="58" t="s">
        <v>165</v>
      </c>
      <c r="Q217" s="10" t="s">
        <v>19</v>
      </c>
      <c r="R217" s="76">
        <f>R218</f>
        <v>263.89999999999998</v>
      </c>
      <c r="S217" s="76">
        <f t="shared" si="35"/>
        <v>278.89999999999998</v>
      </c>
      <c r="T217" s="77">
        <f t="shared" si="35"/>
        <v>315.3</v>
      </c>
      <c r="U217" s="147"/>
    </row>
    <row r="218" spans="1:23" s="6" customFormat="1" ht="13.8" x14ac:dyDescent="0.25">
      <c r="I218" s="164" t="s">
        <v>20</v>
      </c>
      <c r="J218" s="165"/>
      <c r="K218" s="165"/>
      <c r="L218" s="165"/>
      <c r="M218" s="33"/>
      <c r="N218" s="46">
        <v>887</v>
      </c>
      <c r="O218" s="47" t="s">
        <v>164</v>
      </c>
      <c r="P218" s="58" t="s">
        <v>165</v>
      </c>
      <c r="Q218" s="10" t="s">
        <v>21</v>
      </c>
      <c r="R218" s="89">
        <f>389-125.1</f>
        <v>263.89999999999998</v>
      </c>
      <c r="S218" s="100">
        <f>407.9-129</f>
        <v>278.89999999999998</v>
      </c>
      <c r="T218" s="100">
        <f>426.5-111.2</f>
        <v>315.3</v>
      </c>
      <c r="U218" s="147"/>
    </row>
    <row r="219" spans="1:23" s="17" customFormat="1" ht="20.25" customHeight="1" x14ac:dyDescent="0.25">
      <c r="A219" s="9"/>
      <c r="B219" s="9"/>
      <c r="C219" s="9"/>
      <c r="D219" s="9"/>
      <c r="E219" s="9"/>
      <c r="F219" s="9"/>
      <c r="G219" s="9"/>
      <c r="H219" s="34"/>
      <c r="I219" s="151" t="s">
        <v>183</v>
      </c>
      <c r="J219" s="152"/>
      <c r="K219" s="152"/>
      <c r="L219" s="152"/>
      <c r="M219" s="66"/>
      <c r="N219" s="67"/>
      <c r="O219" s="67"/>
      <c r="P219" s="68"/>
      <c r="Q219" s="69"/>
      <c r="R219" s="119">
        <f>R29+R8</f>
        <v>74945.099999999991</v>
      </c>
      <c r="S219" s="119">
        <f>S29+S8</f>
        <v>76713.899999999994</v>
      </c>
      <c r="T219" s="119">
        <f>T29+T8</f>
        <v>77414.3</v>
      </c>
      <c r="U219" s="149">
        <f>SUM(U8:U218)</f>
        <v>2.2204460492503131E-14</v>
      </c>
      <c r="V219" s="17">
        <f>SUM(V8:V218)</f>
        <v>0</v>
      </c>
      <c r="W219" s="17">
        <f>SUM(W8:W218)</f>
        <v>0</v>
      </c>
    </row>
    <row r="220" spans="1:23" s="35" customFormat="1" ht="15.6" x14ac:dyDescent="0.3">
      <c r="I220" s="166" t="s">
        <v>182</v>
      </c>
      <c r="J220" s="166"/>
      <c r="K220" s="166"/>
      <c r="L220" s="166"/>
      <c r="M220" s="101"/>
      <c r="N220" s="101"/>
      <c r="O220" s="101"/>
      <c r="P220" s="101"/>
      <c r="Q220" s="101"/>
      <c r="R220" s="102"/>
      <c r="S220" s="120">
        <v>1931.1</v>
      </c>
      <c r="T220" s="121">
        <v>3997.2</v>
      </c>
      <c r="U220" s="131">
        <f>U219-R240</f>
        <v>-819.09999999999127</v>
      </c>
      <c r="V220" s="131">
        <f>V219-S240</f>
        <v>730</v>
      </c>
      <c r="W220" s="131">
        <f>W219-T240</f>
        <v>143.5</v>
      </c>
    </row>
    <row r="221" spans="1:23" s="35" customFormat="1" ht="15.6" x14ac:dyDescent="0.3">
      <c r="I221" s="151" t="s">
        <v>167</v>
      </c>
      <c r="J221" s="152"/>
      <c r="K221" s="152"/>
      <c r="L221" s="152"/>
      <c r="M221" s="101"/>
      <c r="N221" s="101"/>
      <c r="O221" s="101"/>
      <c r="P221" s="101"/>
      <c r="Q221" s="101"/>
      <c r="R221" s="122">
        <f>R219+R220</f>
        <v>74945.099999999991</v>
      </c>
      <c r="S221" s="122">
        <f>S219+S220</f>
        <v>78645</v>
      </c>
      <c r="T221" s="122">
        <f>T219+T220</f>
        <v>81411.5</v>
      </c>
      <c r="U221" s="131">
        <f>R221+S221+T221</f>
        <v>235001.59999999998</v>
      </c>
    </row>
    <row r="222" spans="1:23" x14ac:dyDescent="0.25">
      <c r="R222" s="3">
        <v>74945.100000000006</v>
      </c>
      <c r="S222" s="1">
        <v>79006</v>
      </c>
      <c r="T222" s="1">
        <f>81511+6.5-0.9</f>
        <v>81516.600000000006</v>
      </c>
      <c r="U222" s="3">
        <f>SUM(R222:T222)</f>
        <v>235467.7</v>
      </c>
      <c r="V222" s="3">
        <f>U222-P233</f>
        <v>466.09999999997672</v>
      </c>
    </row>
    <row r="223" spans="1:23" x14ac:dyDescent="0.25">
      <c r="R223" s="3">
        <f>R221-R222</f>
        <v>0</v>
      </c>
      <c r="S223" s="1"/>
      <c r="U223" s="3"/>
    </row>
    <row r="224" spans="1:23" ht="18.75" customHeight="1" x14ac:dyDescent="0.25">
      <c r="R224" s="110">
        <v>2023</v>
      </c>
      <c r="S224" s="1">
        <v>2024</v>
      </c>
      <c r="T224" s="1">
        <v>2025</v>
      </c>
    </row>
    <row r="225" spans="12:21" x14ac:dyDescent="0.25">
      <c r="P225" s="153" t="s">
        <v>186</v>
      </c>
      <c r="Q225" s="154"/>
      <c r="R225" s="105">
        <v>74528.100000000006</v>
      </c>
      <c r="S225" s="108">
        <v>78645</v>
      </c>
      <c r="T225" s="108">
        <f>T221</f>
        <v>81411.5</v>
      </c>
    </row>
    <row r="226" spans="12:21" x14ac:dyDescent="0.25">
      <c r="P226" s="155" t="s">
        <v>187</v>
      </c>
      <c r="Q226" s="155"/>
      <c r="R226" s="105"/>
      <c r="S226" s="105">
        <f>S210+S58+S46</f>
        <v>1403.7</v>
      </c>
      <c r="T226" s="105">
        <f>T210+T58+T46</f>
        <v>1467.8000000000002</v>
      </c>
    </row>
    <row r="227" spans="12:21" x14ac:dyDescent="0.25">
      <c r="P227" s="155" t="s">
        <v>188</v>
      </c>
      <c r="Q227" s="156"/>
      <c r="R227" s="105"/>
      <c r="S227" s="109">
        <f>S225-S226</f>
        <v>77241.3</v>
      </c>
      <c r="T227" s="109">
        <f>T225-T226</f>
        <v>79943.7</v>
      </c>
    </row>
    <row r="228" spans="12:21" x14ac:dyDescent="0.25">
      <c r="P228" s="155" t="s">
        <v>185</v>
      </c>
      <c r="Q228" s="156"/>
      <c r="R228" s="105"/>
      <c r="S228" s="106">
        <v>2.5</v>
      </c>
      <c r="T228" s="106">
        <v>5</v>
      </c>
    </row>
    <row r="229" spans="12:21" x14ac:dyDescent="0.25">
      <c r="L229" s="157" t="s">
        <v>189</v>
      </c>
      <c r="M229" s="157"/>
      <c r="N229" s="157"/>
      <c r="O229" s="157"/>
      <c r="P229" s="157"/>
      <c r="Q229" s="157"/>
      <c r="R229" s="107"/>
      <c r="S229" s="146">
        <f>S227*S228%</f>
        <v>1931.0325000000003</v>
      </c>
      <c r="T229" s="143">
        <f>T227*T228%</f>
        <v>3997.1849999999999</v>
      </c>
    </row>
    <row r="230" spans="12:21" x14ac:dyDescent="0.25">
      <c r="R230" s="105"/>
      <c r="S230" s="105"/>
      <c r="T230" s="105"/>
    </row>
    <row r="231" spans="12:21" x14ac:dyDescent="0.25">
      <c r="L231" s="150" t="s">
        <v>199</v>
      </c>
      <c r="M231" s="150"/>
      <c r="N231" s="150"/>
      <c r="O231" s="150"/>
      <c r="P231" s="138">
        <v>4085.7</v>
      </c>
      <c r="R231" s="105"/>
      <c r="S231" s="133"/>
      <c r="T231" s="105"/>
    </row>
    <row r="232" spans="12:21" x14ac:dyDescent="0.25">
      <c r="L232" s="135"/>
      <c r="M232" s="136"/>
      <c r="N232" s="136" t="s">
        <v>200</v>
      </c>
      <c r="P232" s="142">
        <f>R232+S232+T232</f>
        <v>230915.90000000002</v>
      </c>
      <c r="Q232" s="136"/>
      <c r="R232" s="109">
        <v>73435.8</v>
      </c>
      <c r="S232" s="139">
        <v>76993.3</v>
      </c>
      <c r="T232" s="139">
        <v>80486.8</v>
      </c>
      <c r="U232" s="141">
        <f>R232+S232+T232</f>
        <v>230915.90000000002</v>
      </c>
    </row>
    <row r="233" spans="12:21" x14ac:dyDescent="0.25">
      <c r="L233" s="135"/>
      <c r="M233" s="136"/>
      <c r="N233" s="136" t="s">
        <v>186</v>
      </c>
      <c r="P233" s="132">
        <f>P231+P232</f>
        <v>235001.60000000003</v>
      </c>
      <c r="R233" s="105"/>
      <c r="S233" s="134"/>
      <c r="T233" s="106"/>
    </row>
    <row r="234" spans="12:21" x14ac:dyDescent="0.25">
      <c r="L234" s="135"/>
      <c r="M234" s="136"/>
      <c r="N234" s="136" t="s">
        <v>202</v>
      </c>
      <c r="P234" s="132">
        <f>R221+S221+T221</f>
        <v>235001.59999999998</v>
      </c>
      <c r="R234" s="105">
        <f>R221</f>
        <v>74945.099999999991</v>
      </c>
      <c r="S234" s="105">
        <f>S221</f>
        <v>78645</v>
      </c>
      <c r="T234" s="105">
        <f>T221</f>
        <v>81411.5</v>
      </c>
      <c r="U234" s="141">
        <f>SUM(R234:T234)</f>
        <v>235001.59999999998</v>
      </c>
    </row>
    <row r="235" spans="12:21" x14ac:dyDescent="0.25">
      <c r="L235" s="135"/>
      <c r="M235" s="136"/>
      <c r="N235" s="136" t="s">
        <v>201</v>
      </c>
      <c r="P235" s="142">
        <f>P233-P234</f>
        <v>0</v>
      </c>
      <c r="R235" s="105">
        <f>P231+R232-R234</f>
        <v>2576.4000000000087</v>
      </c>
      <c r="S235" s="137">
        <f>R235+S232-S234</f>
        <v>924.70000000001164</v>
      </c>
      <c r="T235" s="140">
        <f>S235+T232-T234</f>
        <v>0</v>
      </c>
      <c r="U235" s="3"/>
    </row>
    <row r="236" spans="12:21" x14ac:dyDescent="0.25">
      <c r="S236" s="145">
        <f>S221-S225</f>
        <v>0</v>
      </c>
      <c r="T236" s="144">
        <f>T221-T225</f>
        <v>0</v>
      </c>
    </row>
    <row r="238" spans="12:21" x14ac:dyDescent="0.25">
      <c r="R238" s="3">
        <f>R232-R234</f>
        <v>-1509.2999999999884</v>
      </c>
      <c r="S238" s="3">
        <f>S232-S234</f>
        <v>-1651.6999999999971</v>
      </c>
      <c r="T238" s="3">
        <f>T232-T234</f>
        <v>-924.69999999999709</v>
      </c>
      <c r="U238" s="3">
        <f>U232-U234</f>
        <v>-4085.6999999999534</v>
      </c>
    </row>
    <row r="239" spans="12:21" x14ac:dyDescent="0.25">
      <c r="R239" s="3">
        <v>74126</v>
      </c>
      <c r="S239" s="1">
        <v>79375</v>
      </c>
      <c r="T239" s="1">
        <v>81555</v>
      </c>
      <c r="U239" s="3">
        <f>SUM(R239:T239)</f>
        <v>235056</v>
      </c>
    </row>
    <row r="240" spans="12:21" x14ac:dyDescent="0.25">
      <c r="R240" s="3">
        <f>R221-R239</f>
        <v>819.09999999999127</v>
      </c>
      <c r="S240" s="3">
        <f>S221-S239</f>
        <v>-730</v>
      </c>
      <c r="T240" s="3">
        <f>T221-T239</f>
        <v>-143.5</v>
      </c>
      <c r="U240" s="3">
        <f>SUM(R240:T240)</f>
        <v>-54.400000000008731</v>
      </c>
    </row>
  </sheetData>
  <sheetProtection selectLockedCells="1" selectUnlockedCells="1"/>
  <mergeCells count="221"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  <mergeCell ref="R6:T6"/>
    <mergeCell ref="I8:M8"/>
    <mergeCell ref="I9:M9"/>
    <mergeCell ref="I10:M10"/>
    <mergeCell ref="I11:M11"/>
    <mergeCell ref="I12:M12"/>
    <mergeCell ref="I13:L13"/>
    <mergeCell ref="I14:M14"/>
    <mergeCell ref="I15:L15"/>
    <mergeCell ref="I16:L16"/>
    <mergeCell ref="I17:M17"/>
    <mergeCell ref="I18:M18"/>
    <mergeCell ref="I19:L19"/>
    <mergeCell ref="I20:M20"/>
    <mergeCell ref="I21:M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L31"/>
    <mergeCell ref="I32:M32"/>
    <mergeCell ref="I33:M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M47"/>
    <mergeCell ref="I48:L48"/>
    <mergeCell ref="I49:M49"/>
    <mergeCell ref="I50:L50"/>
    <mergeCell ref="I51:L51"/>
    <mergeCell ref="I52:L52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M68"/>
    <mergeCell ref="I69:L69"/>
    <mergeCell ref="I70:L70"/>
    <mergeCell ref="I71:M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M100"/>
    <mergeCell ref="I101:M101"/>
    <mergeCell ref="I102:L102"/>
    <mergeCell ref="I103:L103"/>
    <mergeCell ref="I104:L104"/>
    <mergeCell ref="I105:L105"/>
    <mergeCell ref="I106:L106"/>
    <mergeCell ref="I107:L107"/>
    <mergeCell ref="I108:L108"/>
    <mergeCell ref="I109:M109"/>
    <mergeCell ref="I110:L110"/>
    <mergeCell ref="I111:L111"/>
    <mergeCell ref="I112:M112"/>
    <mergeCell ref="I113:L113"/>
    <mergeCell ref="I114:L114"/>
    <mergeCell ref="I115:M115"/>
    <mergeCell ref="I116:L116"/>
    <mergeCell ref="I117:M117"/>
    <mergeCell ref="I118:L118"/>
    <mergeCell ref="I119:L119"/>
    <mergeCell ref="I120:L120"/>
    <mergeCell ref="I121:M121"/>
    <mergeCell ref="I122:L122"/>
    <mergeCell ref="I123:L123"/>
    <mergeCell ref="I124:M124"/>
    <mergeCell ref="I125:L125"/>
    <mergeCell ref="I126:L126"/>
    <mergeCell ref="I127:L127"/>
    <mergeCell ref="I128:L128"/>
    <mergeCell ref="I129:L129"/>
    <mergeCell ref="I130:M130"/>
    <mergeCell ref="I131:M131"/>
    <mergeCell ref="I132:M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M154"/>
    <mergeCell ref="I155:L155"/>
    <mergeCell ref="I156:M156"/>
    <mergeCell ref="I157:M157"/>
    <mergeCell ref="I158:M158"/>
    <mergeCell ref="I159:L159"/>
    <mergeCell ref="I160:L160"/>
    <mergeCell ref="I161:M161"/>
    <mergeCell ref="I162:L162"/>
    <mergeCell ref="I163:L163"/>
    <mergeCell ref="I164:L164"/>
    <mergeCell ref="I165:M165"/>
    <mergeCell ref="I166:L166"/>
    <mergeCell ref="I167:L167"/>
    <mergeCell ref="I168:L168"/>
    <mergeCell ref="I169:M169"/>
    <mergeCell ref="I170:M170"/>
    <mergeCell ref="I171:M171"/>
    <mergeCell ref="I172:M172"/>
    <mergeCell ref="I173:M173"/>
    <mergeCell ref="I174:L174"/>
    <mergeCell ref="I175:M175"/>
    <mergeCell ref="I176:L176"/>
    <mergeCell ref="I177:L177"/>
    <mergeCell ref="I178:L178"/>
    <mergeCell ref="I179:L179"/>
    <mergeCell ref="I180:L180"/>
    <mergeCell ref="I181:L181"/>
    <mergeCell ref="I182:L182"/>
    <mergeCell ref="I183:L183"/>
    <mergeCell ref="I193:M193"/>
    <mergeCell ref="I194:M194"/>
    <mergeCell ref="I195:M195"/>
    <mergeCell ref="I196:M196"/>
    <mergeCell ref="I197:L197"/>
    <mergeCell ref="I198:L198"/>
    <mergeCell ref="I199:L199"/>
    <mergeCell ref="I200:L200"/>
    <mergeCell ref="I201:M201"/>
    <mergeCell ref="I202:M202"/>
    <mergeCell ref="I203:L203"/>
    <mergeCell ref="I204:L204"/>
    <mergeCell ref="I205:M205"/>
    <mergeCell ref="I206:M206"/>
    <mergeCell ref="I207:L207"/>
    <mergeCell ref="I208:L208"/>
    <mergeCell ref="I209:M209"/>
    <mergeCell ref="I210:M210"/>
    <mergeCell ref="I211:L211"/>
    <mergeCell ref="I212:M212"/>
    <mergeCell ref="I213:M213"/>
    <mergeCell ref="I214:M214"/>
    <mergeCell ref="I215:M215"/>
    <mergeCell ref="I216:L216"/>
    <mergeCell ref="I217:M217"/>
    <mergeCell ref="I218:L218"/>
    <mergeCell ref="I219:L219"/>
    <mergeCell ref="I220:L220"/>
    <mergeCell ref="L231:O231"/>
    <mergeCell ref="I221:L221"/>
    <mergeCell ref="P225:Q225"/>
    <mergeCell ref="P226:Q226"/>
    <mergeCell ref="P227:Q227"/>
    <mergeCell ref="P228:Q228"/>
    <mergeCell ref="L229:Q229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7" manualBreakCount="7">
    <brk id="25" min="8" max="19" man="1"/>
    <brk id="50" max="16383" man="1"/>
    <brk id="79" max="16383" man="1"/>
    <brk id="102" max="16383" man="1"/>
    <brk id="142" min="8" max="19" man="1"/>
    <brk id="163" min="8" max="19" man="1"/>
    <brk id="197" min="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2023-2025 изменение 13.11.</vt:lpstr>
      <vt:lpstr>Лист2</vt:lpstr>
      <vt:lpstr>Лист3</vt:lpstr>
      <vt:lpstr>'2023-2025 изменение 13.11.'!Excel_BuiltIn_Print_Area</vt:lpstr>
      <vt:lpstr>'2023-2025 изменение 13.11.'!Область_печати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2023-11-08T13:04:22Z</cp:lastPrinted>
  <dcterms:created xsi:type="dcterms:W3CDTF">2023-11-15T09:38:26Z</dcterms:created>
  <dcterms:modified xsi:type="dcterms:W3CDTF">2023-11-15T09:38:26Z</dcterms:modified>
</cp:coreProperties>
</file>